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53222"/>
  <mc:AlternateContent xmlns:mc="http://schemas.openxmlformats.org/markup-compatibility/2006">
    <mc:Choice Requires="x15">
      <x15ac:absPath xmlns:x15ac="http://schemas.microsoft.com/office/spreadsheetml/2010/11/ac" url="Z:\tekstit\Tilasto\Tyokalut\"/>
    </mc:Choice>
  </mc:AlternateContent>
  <bookViews>
    <workbookView xWindow="0" yWindow="0" windowWidth="21570" windowHeight="8940" tabRatio="735"/>
  </bookViews>
  <sheets>
    <sheet name="Aloitus_Start" sheetId="5" r:id="rId1"/>
    <sheet name="Data" sheetId="11" r:id="rId2"/>
    <sheet name="Ristiintaul_Korstabulering" sheetId="15" r:id="rId3"/>
    <sheet name="Grafiikka_Grafik" sheetId="14" r:id="rId4"/>
    <sheet name="Asetukset" sheetId="12" state="hidden" r:id="rId5"/>
  </sheets>
  <definedNames>
    <definedName name="_xlnm._FilterDatabase" localSheetId="1" hidden="1">Data!$A$1:$B$1</definedName>
    <definedName name="Aineistomenot_kaikki_luokat">Grafiikka_Grafik!$A$720</definedName>
    <definedName name="Aineistomenot_paaluokat">Grafiikka_Grafik!$A$675</definedName>
    <definedName name="Aktiiviset_lainaajat">Grafiikka_Grafik!$A$26</definedName>
    <definedName name="Aukiolo">Grafiikka_Grafik!$A$225</definedName>
    <definedName name="Aukiolopaivat">Grafiikka_Grafik!$A$312</definedName>
    <definedName name="Aukiolotunnit">Grafiikka_Grafik!$A$265</definedName>
    <definedName name="Elektroniset_palvelut">Grafiikka_Grafik!$A$415</definedName>
    <definedName name="Henkilosto">Grafiikka_Grafik!$A$866</definedName>
    <definedName name="Henkilosto_ammatillisuus">Grafiikka_Grafik!$A$912</definedName>
    <definedName name="Henkilosto_rahoituslahteet">Grafiikka_Grafik!$A$868</definedName>
    <definedName name="Henkilostokoulutus">Grafiikka_Grafik!$A$951</definedName>
    <definedName name="Kaukolainaus">Grafiikka_Grafik!$A$149</definedName>
    <definedName name="Kaynnit">Grafiikka_Grafik!$A$171</definedName>
    <definedName name="Kielivalinta">Aloitus_Start!$D$1</definedName>
    <definedName name="Kirjahankinnat">Grafiikka_Grafik!$A$586</definedName>
    <definedName name="KITT2030_asiakasryhmat">Grafiikka_Grafik!$A$33</definedName>
    <definedName name="Kokoelmat">Grafiikka_Grafik!$A$498</definedName>
    <definedName name="Kokonaislainaus">Grafiikka_Grafik!$A$107</definedName>
    <definedName name="Lainaajaluokittelu">Asetukset!$C$301</definedName>
    <definedName name="Lainaajatilasto">Asetukset!$C$301</definedName>
    <definedName name="Lainamääritelmä">Grafiikka_Grafik!$A$112</definedName>
    <definedName name="Lainaus_ja_uusinnat">Grafiikka_Grafik!$A$68</definedName>
    <definedName name="Lainaustilasto">Asetukset!$F$345</definedName>
    <definedName name="Opetus">Grafiikka_Grafik!$A$470</definedName>
    <definedName name="Painetut_ja_elektroniset">Grafiikka_Grafik!$A$500</definedName>
    <definedName name="Palvelut">Grafiikka_Grafik!$A$25</definedName>
    <definedName name="Projektirahoitus">Grafiikka_Grafik!$A$817</definedName>
    <definedName name="Rahoituslahteet">Grafiikka_Grafik!$A$772</definedName>
    <definedName name="Saapuvat_kausijulkaisut">Grafiikka_Grafik!$A$541</definedName>
    <definedName name="Talous">Grafiikka_Grafik!$A$627</definedName>
    <definedName name="Tietopalvelu">Grafiikka_Grafik!$A$351</definedName>
    <definedName name="Toimintamenot_paaluokat">Grafiikka_Grafik!$A$628</definedName>
    <definedName name="Ulkoinen_vaikuttavuus">Grafiikka_Grafik!$S$76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B29" i="5"/>
  <c r="B28" i="5"/>
  <c r="C24" i="5"/>
  <c r="C23" i="5"/>
  <c r="C22" i="5"/>
  <c r="C21" i="5"/>
  <c r="C20" i="5"/>
  <c r="B18" i="5" l="1"/>
  <c r="B9" i="5"/>
  <c r="B10" i="5"/>
  <c r="B8" i="5"/>
  <c r="H2" i="14" l="1"/>
  <c r="B2" i="15"/>
  <c r="C25" i="5" l="1"/>
  <c r="B12" i="5"/>
  <c r="A1" i="11" l="1"/>
  <c r="E2" i="11" l="1"/>
  <c r="L31" i="12" l="1"/>
  <c r="L14" i="12"/>
  <c r="L9" i="12"/>
  <c r="L8" i="12"/>
  <c r="L7" i="12"/>
  <c r="L6" i="12"/>
  <c r="L5" i="12"/>
  <c r="M5" i="12" s="1"/>
  <c r="B952" i="14" l="1"/>
  <c r="B913" i="14"/>
  <c r="B867" i="14"/>
  <c r="B818" i="14"/>
  <c r="B773" i="14"/>
  <c r="B721" i="14"/>
  <c r="B676" i="14"/>
  <c r="B629" i="14"/>
  <c r="B587" i="14"/>
  <c r="B542" i="14"/>
  <c r="B499" i="14"/>
  <c r="B471" i="14"/>
  <c r="N416" i="14"/>
  <c r="K416" i="14"/>
  <c r="H416" i="14"/>
  <c r="E416" i="14"/>
  <c r="B416" i="14"/>
  <c r="K353" i="14"/>
  <c r="H353" i="14"/>
  <c r="E353" i="14"/>
  <c r="B353" i="14"/>
  <c r="B313" i="14"/>
  <c r="B266" i="14"/>
  <c r="B227" i="14"/>
  <c r="B172" i="14"/>
  <c r="B150" i="14"/>
  <c r="B108" i="14"/>
  <c r="B69" i="14"/>
  <c r="B34" i="14"/>
  <c r="B27" i="14"/>
  <c r="A24" i="14"/>
  <c r="F495" i="12" l="1"/>
  <c r="E459" i="12" l="1"/>
  <c r="H461" i="12" s="1"/>
  <c r="D459" i="12"/>
  <c r="G461" i="12" s="1"/>
  <c r="E458" i="12"/>
  <c r="L473" i="12" s="1"/>
  <c r="N473" i="12" s="1"/>
  <c r="L24" i="12"/>
  <c r="L15" i="12"/>
  <c r="L23" i="12" l="1"/>
  <c r="M15" i="12"/>
  <c r="L16" i="12"/>
  <c r="M16" i="12" s="1"/>
  <c r="M19" i="12" s="1"/>
  <c r="L10" i="12"/>
  <c r="L11" i="12"/>
  <c r="N16" i="12" l="1"/>
  <c r="D9" i="12"/>
  <c r="B1" i="15" l="1"/>
  <c r="L32" i="12" l="1"/>
  <c r="A14" i="15" s="1"/>
  <c r="L27" i="12"/>
  <c r="N32" i="11"/>
  <c r="M32" i="11"/>
  <c r="M27" i="11"/>
  <c r="N30" i="12"/>
  <c r="M30" i="12"/>
  <c r="N31" i="12" l="1"/>
  <c r="N32" i="12" s="1"/>
  <c r="B14" i="15" s="1"/>
  <c r="C14" i="15" s="1"/>
  <c r="A4" i="15"/>
  <c r="M31" i="12"/>
  <c r="M32" i="12" s="1"/>
  <c r="B4" i="15" s="1"/>
  <c r="C4" i="15" s="1"/>
  <c r="A38" i="14" l="1"/>
  <c r="C458" i="12" l="1"/>
  <c r="F2" i="11"/>
  <c r="L18" i="12" l="1"/>
  <c r="L19" i="12"/>
  <c r="M6" i="12"/>
  <c r="M10" i="12" s="1"/>
  <c r="B5" i="15" s="1"/>
  <c r="E616" i="12"/>
  <c r="D616" i="12"/>
  <c r="E615" i="12"/>
  <c r="D615" i="12"/>
  <c r="E614" i="12"/>
  <c r="D614" i="12"/>
  <c r="E613" i="12"/>
  <c r="D613" i="12"/>
  <c r="E612" i="12"/>
  <c r="D612" i="12"/>
  <c r="E611" i="12"/>
  <c r="D611" i="12"/>
  <c r="E610" i="12"/>
  <c r="D610" i="12"/>
  <c r="E609" i="12"/>
  <c r="D609" i="12"/>
  <c r="E608" i="12"/>
  <c r="D608" i="12"/>
  <c r="E607" i="12"/>
  <c r="D607" i="12"/>
  <c r="E606" i="12"/>
  <c r="D606" i="12"/>
  <c r="E605" i="12"/>
  <c r="D605" i="12"/>
  <c r="E604" i="12"/>
  <c r="D604" i="12"/>
  <c r="E603" i="12"/>
  <c r="D603" i="12"/>
  <c r="E602" i="12"/>
  <c r="D602" i="12"/>
  <c r="E601" i="12"/>
  <c r="D601" i="12"/>
  <c r="E600" i="12"/>
  <c r="D600" i="12"/>
  <c r="E599" i="12"/>
  <c r="D599" i="12"/>
  <c r="E598" i="12"/>
  <c r="D598" i="12"/>
  <c r="E597" i="12"/>
  <c r="D597" i="12"/>
  <c r="E596" i="12"/>
  <c r="D596" i="12"/>
  <c r="E595" i="12"/>
  <c r="D595" i="12"/>
  <c r="E594" i="12"/>
  <c r="D594" i="12"/>
  <c r="E593" i="12"/>
  <c r="D593" i="12"/>
  <c r="E592" i="12"/>
  <c r="D592" i="12"/>
  <c r="E591" i="12"/>
  <c r="D591" i="12"/>
  <c r="E590" i="12"/>
  <c r="D590" i="12"/>
  <c r="E589" i="12"/>
  <c r="D589" i="12"/>
  <c r="E588" i="12"/>
  <c r="D588" i="12"/>
  <c r="E587" i="12"/>
  <c r="D587" i="12"/>
  <c r="E586" i="12"/>
  <c r="D586" i="12"/>
  <c r="E585" i="12"/>
  <c r="D585" i="12"/>
  <c r="E584" i="12"/>
  <c r="D584" i="12"/>
  <c r="E583" i="12"/>
  <c r="D583" i="12"/>
  <c r="E582" i="12"/>
  <c r="D582" i="12"/>
  <c r="E581" i="12"/>
  <c r="D581" i="12"/>
  <c r="E580" i="12"/>
  <c r="D580" i="12"/>
  <c r="E579" i="12"/>
  <c r="D579" i="12"/>
  <c r="E578" i="12"/>
  <c r="D578" i="12"/>
  <c r="E577" i="12"/>
  <c r="D577" i="12"/>
  <c r="E576" i="12"/>
  <c r="D576" i="12"/>
  <c r="E575" i="12"/>
  <c r="D575" i="12"/>
  <c r="E574" i="12"/>
  <c r="D574" i="12"/>
  <c r="E573" i="12"/>
  <c r="J579" i="12" s="1"/>
  <c r="D573" i="12"/>
  <c r="I579" i="12" s="1"/>
  <c r="E572" i="12"/>
  <c r="D572" i="12"/>
  <c r="E571" i="12"/>
  <c r="D571" i="12"/>
  <c r="E570" i="12"/>
  <c r="H573" i="12" s="1"/>
  <c r="D570" i="12"/>
  <c r="G573" i="12" s="1"/>
  <c r="E569" i="12"/>
  <c r="H572" i="12" s="1"/>
  <c r="D569" i="12"/>
  <c r="G572" i="12" s="1"/>
  <c r="E568" i="12"/>
  <c r="D568" i="12"/>
  <c r="E567" i="12"/>
  <c r="H571" i="12" s="1"/>
  <c r="D567" i="12"/>
  <c r="G571" i="12" s="1"/>
  <c r="E566" i="12"/>
  <c r="N25" i="12" s="1"/>
  <c r="D566" i="12"/>
  <c r="M25" i="12" s="1"/>
  <c r="E565" i="12"/>
  <c r="H566" i="12" s="1"/>
  <c r="D565" i="12"/>
  <c r="G566" i="12" s="1"/>
  <c r="E564" i="12"/>
  <c r="H565" i="12" s="1"/>
  <c r="D564" i="12"/>
  <c r="G565" i="12" s="1"/>
  <c r="E563" i="12"/>
  <c r="H564" i="12" s="1"/>
  <c r="D563" i="12"/>
  <c r="G564" i="12" s="1"/>
  <c r="E562" i="12"/>
  <c r="N24" i="12" s="1"/>
  <c r="D562" i="12"/>
  <c r="M24" i="12" s="1"/>
  <c r="M26" i="12" s="1"/>
  <c r="E561" i="12"/>
  <c r="D561" i="12"/>
  <c r="E560" i="12"/>
  <c r="D560" i="12"/>
  <c r="E559" i="12"/>
  <c r="D559" i="12"/>
  <c r="E558" i="12"/>
  <c r="D558" i="12"/>
  <c r="E557" i="12"/>
  <c r="D557" i="12"/>
  <c r="E556" i="12"/>
  <c r="D556" i="12"/>
  <c r="E555" i="12"/>
  <c r="D555" i="12"/>
  <c r="E554" i="12"/>
  <c r="D554" i="12"/>
  <c r="E553" i="12"/>
  <c r="D553" i="12"/>
  <c r="E552" i="12"/>
  <c r="D552" i="12"/>
  <c r="E551" i="12"/>
  <c r="D551" i="12"/>
  <c r="E550" i="12"/>
  <c r="D550" i="12"/>
  <c r="E549" i="12"/>
  <c r="D549" i="12"/>
  <c r="E548" i="12"/>
  <c r="D548" i="12"/>
  <c r="E547" i="12"/>
  <c r="H545" i="12" s="1"/>
  <c r="D547" i="12"/>
  <c r="G545" i="12" s="1"/>
  <c r="E546" i="12"/>
  <c r="D546" i="12"/>
  <c r="E545" i="12"/>
  <c r="H553" i="12" s="1"/>
  <c r="D545" i="12"/>
  <c r="G553" i="12" s="1"/>
  <c r="E544" i="12"/>
  <c r="H544" i="12" s="1"/>
  <c r="D544" i="12"/>
  <c r="G544" i="12" s="1"/>
  <c r="E543" i="12"/>
  <c r="H552" i="12" s="1"/>
  <c r="D543" i="12"/>
  <c r="G552" i="12" s="1"/>
  <c r="E542" i="12"/>
  <c r="D542" i="12"/>
  <c r="E541" i="12"/>
  <c r="D541" i="12"/>
  <c r="E540" i="12"/>
  <c r="H543" i="12" s="1"/>
  <c r="D540" i="12"/>
  <c r="G543" i="12" s="1"/>
  <c r="E539" i="12"/>
  <c r="D539" i="12"/>
  <c r="E538" i="12"/>
  <c r="D538" i="12"/>
  <c r="E537" i="12"/>
  <c r="D537" i="12"/>
  <c r="E536" i="12"/>
  <c r="D536" i="12"/>
  <c r="E535" i="12"/>
  <c r="D535" i="12"/>
  <c r="E534" i="12"/>
  <c r="D534" i="12"/>
  <c r="E533" i="12"/>
  <c r="D533" i="12"/>
  <c r="E532" i="12"/>
  <c r="D532" i="12"/>
  <c r="E531" i="12"/>
  <c r="D531" i="12"/>
  <c r="E530" i="12"/>
  <c r="D530" i="12"/>
  <c r="E529" i="12"/>
  <c r="D529" i="12"/>
  <c r="E528" i="12"/>
  <c r="D528" i="12"/>
  <c r="E527" i="12"/>
  <c r="D527" i="12"/>
  <c r="E526" i="12"/>
  <c r="D526" i="12"/>
  <c r="E525" i="12"/>
  <c r="D525" i="12"/>
  <c r="E524" i="12"/>
  <c r="D524" i="12"/>
  <c r="E523" i="12"/>
  <c r="D523" i="12"/>
  <c r="E522" i="12"/>
  <c r="D522" i="12"/>
  <c r="E521" i="12"/>
  <c r="D521" i="12"/>
  <c r="E520" i="12"/>
  <c r="D520" i="12"/>
  <c r="E519" i="12"/>
  <c r="D519" i="12"/>
  <c r="E518" i="12"/>
  <c r="D518" i="12"/>
  <c r="E517" i="12"/>
  <c r="D517" i="12"/>
  <c r="E516" i="12"/>
  <c r="D516" i="12"/>
  <c r="E515" i="12"/>
  <c r="D515" i="12"/>
  <c r="E514" i="12"/>
  <c r="D514" i="12"/>
  <c r="E513" i="12"/>
  <c r="D513" i="12"/>
  <c r="E512" i="12"/>
  <c r="D512" i="12"/>
  <c r="E511" i="12"/>
  <c r="D511" i="12"/>
  <c r="E510" i="12"/>
  <c r="H494" i="12" s="1"/>
  <c r="D510" i="12"/>
  <c r="G494" i="12" s="1"/>
  <c r="E509" i="12"/>
  <c r="D509" i="12"/>
  <c r="E508" i="12"/>
  <c r="D508" i="12"/>
  <c r="E507" i="12"/>
  <c r="D507" i="12"/>
  <c r="E506" i="12"/>
  <c r="D506" i="12"/>
  <c r="E505" i="12"/>
  <c r="D505" i="12"/>
  <c r="E504" i="12"/>
  <c r="H512" i="12" s="1"/>
  <c r="D504" i="12"/>
  <c r="G512" i="12" s="1"/>
  <c r="E503" i="12"/>
  <c r="H511" i="12" s="1"/>
  <c r="D503" i="12"/>
  <c r="G511" i="12" s="1"/>
  <c r="E502" i="12"/>
  <c r="H510" i="12" s="1"/>
  <c r="D502" i="12"/>
  <c r="G510" i="12" s="1"/>
  <c r="E501" i="12"/>
  <c r="H509" i="12" s="1"/>
  <c r="D501" i="12"/>
  <c r="G509" i="12" s="1"/>
  <c r="E500" i="12"/>
  <c r="H501" i="12" s="1"/>
  <c r="D500" i="12"/>
  <c r="G501" i="12" s="1"/>
  <c r="E499" i="12"/>
  <c r="H508" i="12" s="1"/>
  <c r="D499" i="12"/>
  <c r="G508" i="12" s="1"/>
  <c r="E498" i="12"/>
  <c r="H507" i="12" s="1"/>
  <c r="D498" i="12"/>
  <c r="G507" i="12" s="1"/>
  <c r="E497" i="12"/>
  <c r="H506" i="12" s="1"/>
  <c r="D497" i="12"/>
  <c r="G506" i="12" s="1"/>
  <c r="E496" i="12"/>
  <c r="H500" i="12" s="1"/>
  <c r="D496" i="12"/>
  <c r="G500" i="12" s="1"/>
  <c r="E495" i="12"/>
  <c r="H492" i="12" s="1"/>
  <c r="D495" i="12"/>
  <c r="G492" i="12" s="1"/>
  <c r="E494" i="12"/>
  <c r="D494" i="12"/>
  <c r="E493" i="12"/>
  <c r="D493" i="12"/>
  <c r="E492" i="12"/>
  <c r="H493" i="12" s="1"/>
  <c r="D492" i="12"/>
  <c r="G493" i="12" s="1"/>
  <c r="E491" i="12"/>
  <c r="D491" i="12"/>
  <c r="E490" i="12"/>
  <c r="D490" i="12"/>
  <c r="E489" i="12"/>
  <c r="D489" i="12"/>
  <c r="E488" i="12"/>
  <c r="D488" i="12"/>
  <c r="E487" i="12"/>
  <c r="D487" i="12"/>
  <c r="E486" i="12"/>
  <c r="D486" i="12"/>
  <c r="E485" i="12"/>
  <c r="D485" i="12"/>
  <c r="E484" i="12"/>
  <c r="D484" i="12"/>
  <c r="E483" i="12"/>
  <c r="D483" i="12"/>
  <c r="E482" i="12"/>
  <c r="D482" i="12"/>
  <c r="E481" i="12"/>
  <c r="D481" i="12"/>
  <c r="E480" i="12"/>
  <c r="D480" i="12"/>
  <c r="E479" i="12"/>
  <c r="D479" i="12"/>
  <c r="E478" i="12"/>
  <c r="D478" i="12"/>
  <c r="E477" i="12"/>
  <c r="D477" i="12"/>
  <c r="E476" i="12"/>
  <c r="D476" i="12"/>
  <c r="E475" i="12"/>
  <c r="D475" i="12"/>
  <c r="E474" i="12"/>
  <c r="D474" i="12"/>
  <c r="E473" i="12"/>
  <c r="D473" i="12"/>
  <c r="E472" i="12"/>
  <c r="D472" i="12"/>
  <c r="E471" i="12"/>
  <c r="D471" i="12"/>
  <c r="E470" i="12"/>
  <c r="D470" i="12"/>
  <c r="E469" i="12"/>
  <c r="D469" i="12"/>
  <c r="E468" i="12"/>
  <c r="H474" i="12" s="1"/>
  <c r="D468" i="12"/>
  <c r="G474" i="12" s="1"/>
  <c r="E467" i="12"/>
  <c r="H473" i="12" s="1"/>
  <c r="D467" i="12"/>
  <c r="G473" i="12" s="1"/>
  <c r="E466" i="12"/>
  <c r="L474" i="12" s="1"/>
  <c r="N474" i="12" s="1"/>
  <c r="N475" i="12" s="1"/>
  <c r="D466" i="12"/>
  <c r="K474" i="12" s="1"/>
  <c r="M474" i="12" s="1"/>
  <c r="E465" i="12"/>
  <c r="D465" i="12"/>
  <c r="E464" i="12"/>
  <c r="H469" i="12" s="1"/>
  <c r="D464" i="12"/>
  <c r="G469" i="12" s="1"/>
  <c r="E463" i="12"/>
  <c r="H468" i="12" s="1"/>
  <c r="D463" i="12"/>
  <c r="G468" i="12" s="1"/>
  <c r="E462" i="12"/>
  <c r="H462" i="12" s="1"/>
  <c r="D462" i="12"/>
  <c r="G462" i="12" s="1"/>
  <c r="E461" i="12"/>
  <c r="H467" i="12" s="1"/>
  <c r="D461" i="12"/>
  <c r="G467" i="12" s="1"/>
  <c r="E460" i="12"/>
  <c r="H466" i="12" s="1"/>
  <c r="D460" i="12"/>
  <c r="G466" i="12" s="1"/>
  <c r="D458" i="12"/>
  <c r="K473" i="12" s="1"/>
  <c r="M473" i="12" s="1"/>
  <c r="E457" i="12"/>
  <c r="D457" i="12"/>
  <c r="E456" i="12"/>
  <c r="D456" i="12"/>
  <c r="E455" i="12"/>
  <c r="D455" i="12"/>
  <c r="E454" i="12"/>
  <c r="D454" i="12"/>
  <c r="E453" i="12"/>
  <c r="D453" i="12"/>
  <c r="E452" i="12"/>
  <c r="D452" i="12"/>
  <c r="E451" i="12"/>
  <c r="D451" i="12"/>
  <c r="E450" i="12"/>
  <c r="D450" i="12"/>
  <c r="E449" i="12"/>
  <c r="D449" i="12"/>
  <c r="E448" i="12"/>
  <c r="H451" i="12" s="1"/>
  <c r="D448" i="12"/>
  <c r="G451" i="12" s="1"/>
  <c r="E447" i="12"/>
  <c r="D447" i="12"/>
  <c r="E446" i="12"/>
  <c r="D446" i="12"/>
  <c r="E445" i="12"/>
  <c r="D445" i="12"/>
  <c r="E444" i="12"/>
  <c r="D444" i="12"/>
  <c r="E443" i="12"/>
  <c r="H452" i="12" s="1"/>
  <c r="D443" i="12"/>
  <c r="G452" i="12" s="1"/>
  <c r="E442" i="12"/>
  <c r="D442" i="12"/>
  <c r="E441" i="12"/>
  <c r="D441" i="12"/>
  <c r="E440" i="12"/>
  <c r="D440" i="12"/>
  <c r="E439" i="12"/>
  <c r="D439" i="12"/>
  <c r="E438" i="12"/>
  <c r="D438" i="12"/>
  <c r="E437" i="12"/>
  <c r="D437" i="12"/>
  <c r="E436" i="12"/>
  <c r="D436" i="12"/>
  <c r="E435" i="12"/>
  <c r="D435" i="12"/>
  <c r="E434" i="12"/>
  <c r="D434" i="12"/>
  <c r="E433" i="12"/>
  <c r="D433" i="12"/>
  <c r="E432" i="12"/>
  <c r="D432" i="12"/>
  <c r="G420" i="12" s="1"/>
  <c r="E431" i="12"/>
  <c r="D431" i="12"/>
  <c r="E430" i="12"/>
  <c r="D430" i="12"/>
  <c r="E429" i="12"/>
  <c r="D429" i="12"/>
  <c r="E428" i="12"/>
  <c r="D428" i="12"/>
  <c r="G419" i="12" s="1"/>
  <c r="E427" i="12"/>
  <c r="D427" i="12"/>
  <c r="E426" i="12"/>
  <c r="D426" i="12"/>
  <c r="E425" i="12"/>
  <c r="D425" i="12"/>
  <c r="E424" i="12"/>
  <c r="D424" i="12"/>
  <c r="E423" i="12"/>
  <c r="D423" i="12"/>
  <c r="E422" i="12"/>
  <c r="D422" i="12"/>
  <c r="E421" i="12"/>
  <c r="D421" i="12"/>
  <c r="G413" i="12" s="1"/>
  <c r="E420" i="12"/>
  <c r="D420" i="12"/>
  <c r="E419" i="12"/>
  <c r="D419" i="12"/>
  <c r="E418" i="12"/>
  <c r="D418" i="12"/>
  <c r="E417" i="12"/>
  <c r="D417" i="12"/>
  <c r="E416" i="12"/>
  <c r="D416" i="12"/>
  <c r="E415" i="12"/>
  <c r="D415" i="12"/>
  <c r="E414" i="12"/>
  <c r="D414" i="12"/>
  <c r="E413" i="12"/>
  <c r="D413" i="12"/>
  <c r="E412" i="12"/>
  <c r="D412" i="12"/>
  <c r="E411" i="12"/>
  <c r="D411" i="12"/>
  <c r="E410" i="12"/>
  <c r="D410" i="12"/>
  <c r="E409" i="12"/>
  <c r="D409" i="12"/>
  <c r="E408" i="12"/>
  <c r="D408" i="12"/>
  <c r="E407" i="12"/>
  <c r="D407" i="12"/>
  <c r="G411" i="12" s="1"/>
  <c r="E406" i="12"/>
  <c r="D406" i="12"/>
  <c r="E405" i="12"/>
  <c r="D405" i="12"/>
  <c r="E404" i="12"/>
  <c r="D404" i="12"/>
  <c r="G401" i="12" s="1"/>
  <c r="E403" i="12"/>
  <c r="D403" i="12"/>
  <c r="E402" i="12"/>
  <c r="D402" i="12"/>
  <c r="E401" i="12"/>
  <c r="D401" i="12"/>
  <c r="E400" i="12"/>
  <c r="D400" i="12"/>
  <c r="G410" i="12" s="1"/>
  <c r="E399" i="12"/>
  <c r="D399" i="12"/>
  <c r="E398" i="12"/>
  <c r="D398" i="12"/>
  <c r="E397" i="12"/>
  <c r="D397" i="12"/>
  <c r="E396" i="12"/>
  <c r="D396" i="12"/>
  <c r="E395" i="12"/>
  <c r="D395" i="12"/>
  <c r="E394" i="12"/>
  <c r="D394" i="12"/>
  <c r="E393" i="12"/>
  <c r="D393" i="12"/>
  <c r="E392" i="12"/>
  <c r="D392" i="12"/>
  <c r="E391" i="12"/>
  <c r="D391" i="12"/>
  <c r="E390" i="12"/>
  <c r="D390" i="12"/>
  <c r="E389" i="12"/>
  <c r="D389" i="12"/>
  <c r="E388" i="12"/>
  <c r="D388" i="12"/>
  <c r="E387" i="12"/>
  <c r="D387" i="12"/>
  <c r="E386" i="12"/>
  <c r="D386" i="12"/>
  <c r="E385" i="12"/>
  <c r="D385" i="12"/>
  <c r="E384" i="12"/>
  <c r="D384" i="12"/>
  <c r="E383" i="12"/>
  <c r="D383" i="12"/>
  <c r="E382" i="12"/>
  <c r="D382" i="12"/>
  <c r="E381" i="12"/>
  <c r="D381" i="12"/>
  <c r="E380" i="12"/>
  <c r="D380" i="12"/>
  <c r="E379" i="12"/>
  <c r="D379" i="12"/>
  <c r="E378" i="12"/>
  <c r="D378" i="12"/>
  <c r="E377" i="12"/>
  <c r="D377" i="12"/>
  <c r="E376" i="12"/>
  <c r="D376" i="12"/>
  <c r="E375" i="12"/>
  <c r="D375" i="12"/>
  <c r="E374" i="12"/>
  <c r="D374" i="12"/>
  <c r="E373" i="12"/>
  <c r="D373" i="12"/>
  <c r="E372" i="12"/>
  <c r="D372" i="12"/>
  <c r="E371" i="12"/>
  <c r="D371" i="12"/>
  <c r="E370" i="12"/>
  <c r="D370" i="12"/>
  <c r="E369" i="12"/>
  <c r="D369" i="12"/>
  <c r="E368" i="12"/>
  <c r="D368" i="12"/>
  <c r="E367" i="12"/>
  <c r="D367" i="12"/>
  <c r="E366" i="12"/>
  <c r="D366" i="12"/>
  <c r="E365" i="12"/>
  <c r="D365" i="12"/>
  <c r="E364" i="12"/>
  <c r="D364" i="12"/>
  <c r="E363" i="12"/>
  <c r="D363" i="12"/>
  <c r="E362" i="12"/>
  <c r="D362" i="12"/>
  <c r="E361" i="12"/>
  <c r="D361" i="12"/>
  <c r="E360" i="12"/>
  <c r="D360" i="12"/>
  <c r="E359" i="12"/>
  <c r="D359" i="12"/>
  <c r="E358" i="12"/>
  <c r="D358" i="12"/>
  <c r="E357" i="12"/>
  <c r="D357" i="12"/>
  <c r="E356" i="12"/>
  <c r="D356" i="12"/>
  <c r="E355" i="12"/>
  <c r="D355" i="12"/>
  <c r="E354" i="12"/>
  <c r="D354" i="12"/>
  <c r="E353" i="12"/>
  <c r="D353" i="12"/>
  <c r="E352" i="12"/>
  <c r="D352" i="12"/>
  <c r="E351" i="12"/>
  <c r="D351" i="12"/>
  <c r="E350" i="12"/>
  <c r="D350" i="12"/>
  <c r="E349" i="12"/>
  <c r="D349" i="12"/>
  <c r="E348" i="12"/>
  <c r="D348" i="12"/>
  <c r="E347" i="12"/>
  <c r="D347" i="12"/>
  <c r="E346" i="12"/>
  <c r="D346" i="12"/>
  <c r="E345" i="12"/>
  <c r="D345" i="12"/>
  <c r="E344" i="12"/>
  <c r="D344" i="12"/>
  <c r="E343" i="12"/>
  <c r="D343" i="12"/>
  <c r="E342" i="12"/>
  <c r="D342" i="12"/>
  <c r="E341" i="12"/>
  <c r="D341" i="12"/>
  <c r="E340" i="12"/>
  <c r="D340" i="12"/>
  <c r="E339" i="12"/>
  <c r="D339" i="12"/>
  <c r="E338" i="12"/>
  <c r="D338" i="12"/>
  <c r="E337" i="12"/>
  <c r="D337" i="12"/>
  <c r="E336" i="12"/>
  <c r="D336" i="12"/>
  <c r="E335" i="12"/>
  <c r="D335" i="12"/>
  <c r="E334" i="12"/>
  <c r="D334" i="12"/>
  <c r="E333" i="12"/>
  <c r="D333" i="12"/>
  <c r="E332" i="12"/>
  <c r="D332" i="12"/>
  <c r="E331" i="12"/>
  <c r="D331" i="12"/>
  <c r="E330" i="12"/>
  <c r="D330" i="12"/>
  <c r="E329" i="12"/>
  <c r="D329" i="12"/>
  <c r="E328" i="12"/>
  <c r="D328" i="12"/>
  <c r="E327" i="12"/>
  <c r="D327" i="12"/>
  <c r="E326" i="12"/>
  <c r="D326" i="12"/>
  <c r="E325" i="12"/>
  <c r="D325" i="12"/>
  <c r="E324" i="12"/>
  <c r="D324" i="12"/>
  <c r="E323" i="12"/>
  <c r="D323" i="12"/>
  <c r="E322" i="12"/>
  <c r="D322" i="12"/>
  <c r="E321" i="12"/>
  <c r="D321" i="12"/>
  <c r="E320" i="12"/>
  <c r="D320" i="12"/>
  <c r="E319" i="12"/>
  <c r="D319" i="12"/>
  <c r="E318" i="12"/>
  <c r="D318" i="12"/>
  <c r="E317" i="12"/>
  <c r="D317" i="12"/>
  <c r="E316" i="12"/>
  <c r="D316" i="12"/>
  <c r="E315" i="12"/>
  <c r="D315" i="12"/>
  <c r="E314" i="12"/>
  <c r="D314" i="12"/>
  <c r="E313" i="12"/>
  <c r="D313" i="12"/>
  <c r="E312" i="12"/>
  <c r="D312" i="12"/>
  <c r="E311" i="12"/>
  <c r="D311" i="12"/>
  <c r="E310" i="12"/>
  <c r="D310" i="12"/>
  <c r="E309" i="12"/>
  <c r="D309" i="12"/>
  <c r="E308" i="12"/>
  <c r="D308" i="12"/>
  <c r="E307" i="12"/>
  <c r="D307" i="12"/>
  <c r="E306" i="12"/>
  <c r="D306" i="12"/>
  <c r="E305" i="12"/>
  <c r="D305" i="12"/>
  <c r="E304" i="12"/>
  <c r="D304" i="12"/>
  <c r="E303" i="12"/>
  <c r="D303" i="12"/>
  <c r="E302" i="12"/>
  <c r="D302" i="12"/>
  <c r="E301" i="12"/>
  <c r="D301" i="12"/>
  <c r="E300" i="12"/>
  <c r="D300" i="12"/>
  <c r="E299" i="12"/>
  <c r="D299" i="12"/>
  <c r="E298" i="12"/>
  <c r="D298" i="12"/>
  <c r="E297" i="12"/>
  <c r="D297" i="12"/>
  <c r="E296" i="12"/>
  <c r="D296" i="12"/>
  <c r="E295" i="12"/>
  <c r="D295" i="12"/>
  <c r="E294" i="12"/>
  <c r="D294" i="12"/>
  <c r="E293" i="12"/>
  <c r="D293" i="12"/>
  <c r="E292" i="12"/>
  <c r="D292" i="12"/>
  <c r="E291" i="12"/>
  <c r="D291" i="12"/>
  <c r="E290" i="12"/>
  <c r="D290" i="12"/>
  <c r="E289" i="12"/>
  <c r="D289" i="12"/>
  <c r="E288" i="12"/>
  <c r="D288" i="12"/>
  <c r="E287" i="12"/>
  <c r="D287" i="12"/>
  <c r="E286" i="12"/>
  <c r="D286" i="12"/>
  <c r="E285" i="12"/>
  <c r="D285" i="12"/>
  <c r="E284" i="12"/>
  <c r="D284" i="12"/>
  <c r="E283" i="12"/>
  <c r="D283" i="12"/>
  <c r="E282" i="12"/>
  <c r="D282" i="12"/>
  <c r="E281" i="12"/>
  <c r="D281" i="12"/>
  <c r="E280" i="12"/>
  <c r="D280" i="12"/>
  <c r="E279" i="12"/>
  <c r="D279" i="12"/>
  <c r="E278" i="12"/>
  <c r="D278" i="12"/>
  <c r="E277" i="12"/>
  <c r="D277" i="12"/>
  <c r="E276" i="12"/>
  <c r="D276" i="12"/>
  <c r="E275" i="12"/>
  <c r="D275" i="12"/>
  <c r="E274" i="12"/>
  <c r="D274" i="12"/>
  <c r="E273" i="12"/>
  <c r="D273" i="12"/>
  <c r="E272" i="12"/>
  <c r="D272" i="12"/>
  <c r="E271" i="12"/>
  <c r="D271" i="12"/>
  <c r="E270" i="12"/>
  <c r="D270" i="12"/>
  <c r="E269" i="12"/>
  <c r="D269" i="12"/>
  <c r="E268" i="12"/>
  <c r="D268" i="12"/>
  <c r="E267" i="12"/>
  <c r="D267" i="12"/>
  <c r="E266" i="12"/>
  <c r="D266" i="12"/>
  <c r="E265" i="12"/>
  <c r="D265" i="12"/>
  <c r="E264" i="12"/>
  <c r="D264" i="12"/>
  <c r="E263" i="12"/>
  <c r="D263" i="12"/>
  <c r="E262" i="12"/>
  <c r="D262" i="12"/>
  <c r="E261" i="12"/>
  <c r="D261" i="12"/>
  <c r="E260" i="12"/>
  <c r="D260" i="12"/>
  <c r="E259" i="12"/>
  <c r="D259" i="12"/>
  <c r="E258" i="12"/>
  <c r="D258" i="12"/>
  <c r="E257" i="12"/>
  <c r="D257" i="12"/>
  <c r="E256" i="12"/>
  <c r="D256" i="12"/>
  <c r="E255" i="12"/>
  <c r="D255" i="12"/>
  <c r="E254" i="12"/>
  <c r="D254" i="12"/>
  <c r="E253" i="12"/>
  <c r="D253" i="12"/>
  <c r="E252" i="12"/>
  <c r="D252" i="12"/>
  <c r="E251" i="12"/>
  <c r="D251" i="12"/>
  <c r="E250" i="12"/>
  <c r="D250" i="12"/>
  <c r="E249" i="12"/>
  <c r="D249" i="12"/>
  <c r="E248" i="12"/>
  <c r="D248" i="12"/>
  <c r="E247" i="12"/>
  <c r="D247" i="12"/>
  <c r="E246" i="12"/>
  <c r="D246" i="12"/>
  <c r="E245" i="12"/>
  <c r="D245" i="12"/>
  <c r="G192" i="12" s="1"/>
  <c r="E244" i="12"/>
  <c r="D244" i="12"/>
  <c r="E243" i="12"/>
  <c r="D243" i="12"/>
  <c r="E242" i="12"/>
  <c r="D242" i="12"/>
  <c r="E241" i="12"/>
  <c r="D241" i="12"/>
  <c r="E240" i="12"/>
  <c r="D240" i="12"/>
  <c r="E239" i="12"/>
  <c r="D239" i="12"/>
  <c r="E238" i="12"/>
  <c r="D238" i="12"/>
  <c r="E237" i="12"/>
  <c r="D237" i="12"/>
  <c r="E236" i="12"/>
  <c r="D236" i="12"/>
  <c r="E235" i="12"/>
  <c r="D235" i="12"/>
  <c r="E234" i="12"/>
  <c r="D234" i="12"/>
  <c r="E233" i="12"/>
  <c r="D233" i="12"/>
  <c r="E232" i="12"/>
  <c r="D232" i="12"/>
  <c r="E231" i="12"/>
  <c r="D231" i="12"/>
  <c r="E230" i="12"/>
  <c r="D230" i="12"/>
  <c r="E229" i="12"/>
  <c r="D229" i="12"/>
  <c r="E228" i="12"/>
  <c r="D228" i="12"/>
  <c r="E227" i="12"/>
  <c r="D227" i="12"/>
  <c r="E226" i="12"/>
  <c r="D226" i="12"/>
  <c r="E225" i="12"/>
  <c r="D225" i="12"/>
  <c r="E224" i="12"/>
  <c r="D224" i="12"/>
  <c r="E223" i="12"/>
  <c r="D223" i="12"/>
  <c r="E222" i="12"/>
  <c r="D222" i="12"/>
  <c r="E221" i="12"/>
  <c r="D221" i="12"/>
  <c r="E220" i="12"/>
  <c r="D220" i="12"/>
  <c r="E219" i="12"/>
  <c r="D219" i="12"/>
  <c r="E218" i="12"/>
  <c r="D218" i="12"/>
  <c r="E217" i="12"/>
  <c r="D217" i="12"/>
  <c r="E216" i="12"/>
  <c r="D216" i="12"/>
  <c r="E215" i="12"/>
  <c r="D215" i="12"/>
  <c r="E214" i="12"/>
  <c r="D214" i="12"/>
  <c r="E213" i="12"/>
  <c r="D213" i="12"/>
  <c r="E212" i="12"/>
  <c r="D212" i="12"/>
  <c r="E211" i="12"/>
  <c r="D211" i="12"/>
  <c r="E210" i="12"/>
  <c r="D210" i="12"/>
  <c r="E209" i="12"/>
  <c r="D209" i="12"/>
  <c r="E208" i="12"/>
  <c r="D208" i="12"/>
  <c r="E207" i="12"/>
  <c r="D207" i="12"/>
  <c r="E206" i="12"/>
  <c r="D206" i="12"/>
  <c r="E205" i="12"/>
  <c r="D205" i="12"/>
  <c r="E204" i="12"/>
  <c r="D204" i="12"/>
  <c r="E203" i="12"/>
  <c r="D203" i="12"/>
  <c r="E202" i="12"/>
  <c r="D202" i="12"/>
  <c r="E201" i="12"/>
  <c r="D201" i="12"/>
  <c r="E200" i="12"/>
  <c r="D200" i="12"/>
  <c r="E199" i="12"/>
  <c r="D199" i="12"/>
  <c r="E198" i="12"/>
  <c r="D198" i="12"/>
  <c r="E197" i="12"/>
  <c r="D197" i="12"/>
  <c r="E196" i="12"/>
  <c r="D196" i="12"/>
  <c r="E195" i="12"/>
  <c r="D195" i="12"/>
  <c r="E194" i="12"/>
  <c r="D194" i="12"/>
  <c r="E193" i="12"/>
  <c r="D193" i="12"/>
  <c r="E192" i="12"/>
  <c r="D192" i="12"/>
  <c r="E191" i="12"/>
  <c r="D191" i="12"/>
  <c r="E190" i="12"/>
  <c r="D190" i="12"/>
  <c r="E189" i="12"/>
  <c r="D189" i="12"/>
  <c r="E188" i="12"/>
  <c r="D188" i="12"/>
  <c r="E187" i="12"/>
  <c r="D187" i="12"/>
  <c r="E186" i="12"/>
  <c r="D186" i="12"/>
  <c r="E185" i="12"/>
  <c r="D185" i="12"/>
  <c r="E184" i="12"/>
  <c r="D184" i="12"/>
  <c r="E183" i="12"/>
  <c r="D183" i="12"/>
  <c r="E182" i="12"/>
  <c r="D182" i="12"/>
  <c r="E181" i="12"/>
  <c r="D181" i="12"/>
  <c r="E180" i="12"/>
  <c r="D180" i="12"/>
  <c r="E179" i="12"/>
  <c r="D179" i="12"/>
  <c r="E178" i="12"/>
  <c r="D178" i="12"/>
  <c r="E177" i="12"/>
  <c r="D177" i="12"/>
  <c r="E176" i="12"/>
  <c r="D176" i="12"/>
  <c r="E175" i="12"/>
  <c r="D175" i="12"/>
  <c r="E174" i="12"/>
  <c r="D174" i="12"/>
  <c r="E173" i="12"/>
  <c r="D173" i="12"/>
  <c r="E172" i="12"/>
  <c r="D172" i="12"/>
  <c r="E171" i="12"/>
  <c r="D171" i="12"/>
  <c r="E170" i="12"/>
  <c r="D170" i="12"/>
  <c r="E169" i="12"/>
  <c r="D169" i="12"/>
  <c r="E168" i="12"/>
  <c r="D168" i="12"/>
  <c r="E167" i="12"/>
  <c r="D167" i="12"/>
  <c r="E166" i="12"/>
  <c r="D166" i="12"/>
  <c r="E165" i="12"/>
  <c r="D165" i="12"/>
  <c r="E164" i="12"/>
  <c r="D164" i="12"/>
  <c r="E163" i="12"/>
  <c r="D163" i="12"/>
  <c r="E162" i="12"/>
  <c r="D162" i="12"/>
  <c r="E161" i="12"/>
  <c r="D161" i="12"/>
  <c r="E160" i="12"/>
  <c r="D160" i="12"/>
  <c r="E159" i="12"/>
  <c r="D159" i="12"/>
  <c r="E158" i="12"/>
  <c r="D158" i="12"/>
  <c r="E157" i="12"/>
  <c r="D157" i="12"/>
  <c r="E156" i="12"/>
  <c r="D156" i="12"/>
  <c r="E155" i="12"/>
  <c r="D155" i="12"/>
  <c r="E154" i="12"/>
  <c r="D154" i="12"/>
  <c r="E153" i="12"/>
  <c r="D153" i="12"/>
  <c r="E152" i="12"/>
  <c r="D152" i="12"/>
  <c r="E151" i="12"/>
  <c r="D151" i="12"/>
  <c r="E150" i="12"/>
  <c r="D150" i="12"/>
  <c r="E149" i="12"/>
  <c r="D149" i="12"/>
  <c r="E148" i="12"/>
  <c r="D148" i="12"/>
  <c r="E147" i="12"/>
  <c r="D147" i="12"/>
  <c r="E146" i="12"/>
  <c r="D146" i="12"/>
  <c r="E145" i="12"/>
  <c r="D145" i="12"/>
  <c r="E144" i="12"/>
  <c r="D144" i="12"/>
  <c r="E143" i="12"/>
  <c r="D143" i="12"/>
  <c r="E142" i="12"/>
  <c r="D142" i="12"/>
  <c r="E141" i="12"/>
  <c r="D141" i="12"/>
  <c r="E140" i="12"/>
  <c r="D140" i="12"/>
  <c r="E139" i="12"/>
  <c r="D139" i="12"/>
  <c r="E138" i="12"/>
  <c r="D138" i="12"/>
  <c r="E137" i="12"/>
  <c r="D137" i="12"/>
  <c r="G132" i="12" s="1"/>
  <c r="E136" i="12"/>
  <c r="D136" i="12"/>
  <c r="E135" i="12"/>
  <c r="D135" i="12"/>
  <c r="E134" i="12"/>
  <c r="D134" i="12"/>
  <c r="E133" i="12"/>
  <c r="D133" i="12"/>
  <c r="E132" i="12"/>
  <c r="D132" i="12"/>
  <c r="E131" i="12"/>
  <c r="D131" i="12"/>
  <c r="E130" i="12"/>
  <c r="D130" i="12"/>
  <c r="E129" i="12"/>
  <c r="D129" i="12"/>
  <c r="E128" i="12"/>
  <c r="H125" i="12" s="1"/>
  <c r="D128" i="12"/>
  <c r="G125" i="12" s="1"/>
  <c r="E127" i="12"/>
  <c r="D127" i="12"/>
  <c r="E126" i="12"/>
  <c r="D126" i="12"/>
  <c r="E125" i="12"/>
  <c r="D125" i="12"/>
  <c r="E124" i="12"/>
  <c r="D124" i="12"/>
  <c r="E123" i="12"/>
  <c r="D123" i="12"/>
  <c r="E122" i="12"/>
  <c r="D122" i="12"/>
  <c r="E121" i="12"/>
  <c r="D121" i="12"/>
  <c r="E120" i="12"/>
  <c r="D120" i="12"/>
  <c r="E119" i="12"/>
  <c r="D119" i="12"/>
  <c r="E118" i="12"/>
  <c r="D118" i="12"/>
  <c r="E117" i="12"/>
  <c r="D117" i="12"/>
  <c r="E116" i="12"/>
  <c r="D116" i="12"/>
  <c r="E115" i="12"/>
  <c r="D115" i="12"/>
  <c r="E114" i="12"/>
  <c r="D114" i="12"/>
  <c r="E113" i="12"/>
  <c r="D113" i="12"/>
  <c r="E112" i="12"/>
  <c r="D112" i="12"/>
  <c r="E111" i="12"/>
  <c r="D111" i="12"/>
  <c r="E110" i="12"/>
  <c r="D110" i="12"/>
  <c r="E109" i="12"/>
  <c r="D109" i="12"/>
  <c r="E108" i="12"/>
  <c r="D108" i="12"/>
  <c r="E107" i="12"/>
  <c r="D107" i="12"/>
  <c r="E106" i="12"/>
  <c r="D106" i="12"/>
  <c r="E105" i="12"/>
  <c r="D105" i="12"/>
  <c r="E104" i="12"/>
  <c r="D104" i="12"/>
  <c r="E103" i="12"/>
  <c r="D103" i="12"/>
  <c r="E102" i="12"/>
  <c r="D102" i="12"/>
  <c r="E101" i="12"/>
  <c r="D101" i="12"/>
  <c r="E100" i="12"/>
  <c r="D100" i="12"/>
  <c r="E99" i="12"/>
  <c r="D99" i="12"/>
  <c r="E98" i="12"/>
  <c r="D98" i="12"/>
  <c r="E97" i="12"/>
  <c r="D97" i="12"/>
  <c r="E96" i="12"/>
  <c r="D96" i="12"/>
  <c r="E95" i="12"/>
  <c r="D95" i="12"/>
  <c r="E94" i="12"/>
  <c r="D94" i="12"/>
  <c r="E93" i="12"/>
  <c r="D93" i="12"/>
  <c r="E92" i="12"/>
  <c r="D92" i="12"/>
  <c r="E91" i="12"/>
  <c r="D91" i="12"/>
  <c r="E90" i="12"/>
  <c r="D90" i="12"/>
  <c r="E89" i="12"/>
  <c r="D89" i="12"/>
  <c r="E88" i="12"/>
  <c r="D88" i="12"/>
  <c r="E87" i="12"/>
  <c r="D87" i="12"/>
  <c r="E86" i="12"/>
  <c r="D86" i="12"/>
  <c r="E85" i="12"/>
  <c r="D85" i="12"/>
  <c r="E84" i="12"/>
  <c r="D84" i="12"/>
  <c r="E83" i="12"/>
  <c r="D83" i="12"/>
  <c r="E82" i="12"/>
  <c r="D82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G123" i="12" s="1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E8" i="12"/>
  <c r="D8" i="12"/>
  <c r="E7" i="12"/>
  <c r="D7" i="12"/>
  <c r="E6" i="12"/>
  <c r="D6" i="12"/>
  <c r="A11" i="15"/>
  <c r="L17" i="12"/>
  <c r="A5" i="15"/>
  <c r="L2" i="12"/>
  <c r="A2" i="5"/>
  <c r="G614" i="11"/>
  <c r="F614" i="11"/>
  <c r="G613" i="11"/>
  <c r="F613" i="11"/>
  <c r="G612" i="11"/>
  <c r="F612" i="11"/>
  <c r="G611" i="11"/>
  <c r="F611" i="11"/>
  <c r="G610" i="11"/>
  <c r="F610" i="11"/>
  <c r="G609" i="11"/>
  <c r="F609" i="11"/>
  <c r="G608" i="11"/>
  <c r="F608" i="11"/>
  <c r="G607" i="11"/>
  <c r="F607" i="11"/>
  <c r="G606" i="11"/>
  <c r="F606" i="11"/>
  <c r="G605" i="11"/>
  <c r="F605" i="11"/>
  <c r="G604" i="11"/>
  <c r="F604" i="11"/>
  <c r="G603" i="11"/>
  <c r="F603" i="11"/>
  <c r="G602" i="11"/>
  <c r="F602" i="11"/>
  <c r="G601" i="11"/>
  <c r="F601" i="11"/>
  <c r="G600" i="11"/>
  <c r="F600" i="11"/>
  <c r="G599" i="11"/>
  <c r="F599" i="11"/>
  <c r="G598" i="11"/>
  <c r="F598" i="11"/>
  <c r="G597" i="11"/>
  <c r="F597" i="11"/>
  <c r="G596" i="11"/>
  <c r="F596" i="11"/>
  <c r="G595" i="11"/>
  <c r="F595" i="11"/>
  <c r="G594" i="11"/>
  <c r="F594" i="11"/>
  <c r="G593" i="11"/>
  <c r="F593" i="11"/>
  <c r="G592" i="11"/>
  <c r="F592" i="11"/>
  <c r="G591" i="11"/>
  <c r="F591" i="11"/>
  <c r="G590" i="11"/>
  <c r="F590" i="11"/>
  <c r="G589" i="11"/>
  <c r="F589" i="11"/>
  <c r="G588" i="11"/>
  <c r="F588" i="11"/>
  <c r="G587" i="11"/>
  <c r="F587" i="11"/>
  <c r="G586" i="11"/>
  <c r="F586" i="11"/>
  <c r="G585" i="11"/>
  <c r="F585" i="11"/>
  <c r="G584" i="11"/>
  <c r="F584" i="11"/>
  <c r="G583" i="11"/>
  <c r="F583" i="11"/>
  <c r="G582" i="11"/>
  <c r="F582" i="11"/>
  <c r="G581" i="11"/>
  <c r="F581" i="11"/>
  <c r="G580" i="11"/>
  <c r="F580" i="11"/>
  <c r="G579" i="11"/>
  <c r="F579" i="11"/>
  <c r="G578" i="11"/>
  <c r="F578" i="11"/>
  <c r="G577" i="11"/>
  <c r="F577" i="11"/>
  <c r="G576" i="11"/>
  <c r="F576" i="11"/>
  <c r="G575" i="11"/>
  <c r="F575" i="11"/>
  <c r="G574" i="11"/>
  <c r="F574" i="11"/>
  <c r="G573" i="11"/>
  <c r="F573" i="11"/>
  <c r="G572" i="11"/>
  <c r="F572" i="11"/>
  <c r="G571" i="11"/>
  <c r="F571" i="11"/>
  <c r="G570" i="11"/>
  <c r="F570" i="11"/>
  <c r="G569" i="11"/>
  <c r="F569" i="11"/>
  <c r="G568" i="11"/>
  <c r="F568" i="11"/>
  <c r="G567" i="11"/>
  <c r="F567" i="11"/>
  <c r="G566" i="11"/>
  <c r="F566" i="11"/>
  <c r="G565" i="11"/>
  <c r="F565" i="11"/>
  <c r="G564" i="11"/>
  <c r="F564" i="11"/>
  <c r="G563" i="11"/>
  <c r="F563" i="11"/>
  <c r="G562" i="11"/>
  <c r="F562" i="11"/>
  <c r="G561" i="11"/>
  <c r="F561" i="11"/>
  <c r="G560" i="11"/>
  <c r="F560" i="11"/>
  <c r="G559" i="11"/>
  <c r="F559" i="11"/>
  <c r="G558" i="11"/>
  <c r="F558" i="11"/>
  <c r="G557" i="11"/>
  <c r="F557" i="11"/>
  <c r="G556" i="11"/>
  <c r="F556" i="11"/>
  <c r="G555" i="11"/>
  <c r="F555" i="11"/>
  <c r="G554" i="11"/>
  <c r="F554" i="11"/>
  <c r="G553" i="11"/>
  <c r="F553" i="11"/>
  <c r="G552" i="11"/>
  <c r="F552" i="11"/>
  <c r="G551" i="11"/>
  <c r="F551" i="11"/>
  <c r="G550" i="11"/>
  <c r="F550" i="11"/>
  <c r="G549" i="11"/>
  <c r="F549" i="11"/>
  <c r="G548" i="11"/>
  <c r="F548" i="11"/>
  <c r="G547" i="11"/>
  <c r="F547" i="11"/>
  <c r="G546" i="11"/>
  <c r="F546" i="11"/>
  <c r="G545" i="11"/>
  <c r="F545" i="11"/>
  <c r="G544" i="11"/>
  <c r="F544" i="11"/>
  <c r="G543" i="11"/>
  <c r="F543" i="11"/>
  <c r="G542" i="11"/>
  <c r="F542" i="11"/>
  <c r="G541" i="11"/>
  <c r="F541" i="11"/>
  <c r="G540" i="11"/>
  <c r="F540" i="11"/>
  <c r="G539" i="11"/>
  <c r="F539" i="11"/>
  <c r="G538" i="11"/>
  <c r="F538" i="11"/>
  <c r="G537" i="11"/>
  <c r="F537" i="11"/>
  <c r="G536" i="11"/>
  <c r="F536" i="11"/>
  <c r="G535" i="11"/>
  <c r="F535" i="11"/>
  <c r="G534" i="11"/>
  <c r="F534" i="11"/>
  <c r="G533" i="11"/>
  <c r="F533" i="11"/>
  <c r="G532" i="11"/>
  <c r="F532" i="11"/>
  <c r="G531" i="11"/>
  <c r="F531" i="11"/>
  <c r="G530" i="11"/>
  <c r="F530" i="11"/>
  <c r="G529" i="11"/>
  <c r="F529" i="11"/>
  <c r="G528" i="11"/>
  <c r="F528" i="11"/>
  <c r="G527" i="11"/>
  <c r="F527" i="11"/>
  <c r="G526" i="11"/>
  <c r="F526" i="11"/>
  <c r="G525" i="11"/>
  <c r="F525" i="11"/>
  <c r="G524" i="11"/>
  <c r="F524" i="11"/>
  <c r="G523" i="11"/>
  <c r="F523" i="11"/>
  <c r="G522" i="11"/>
  <c r="F522" i="11"/>
  <c r="G521" i="11"/>
  <c r="F521" i="11"/>
  <c r="G520" i="11"/>
  <c r="F520" i="11"/>
  <c r="G519" i="11"/>
  <c r="F519" i="11"/>
  <c r="G518" i="11"/>
  <c r="F518" i="11"/>
  <c r="G517" i="11"/>
  <c r="F517" i="11"/>
  <c r="G516" i="11"/>
  <c r="F516" i="11"/>
  <c r="G515" i="11"/>
  <c r="F515" i="11"/>
  <c r="G514" i="11"/>
  <c r="F514" i="11"/>
  <c r="G513" i="11"/>
  <c r="F513" i="11"/>
  <c r="G512" i="11"/>
  <c r="F512" i="11"/>
  <c r="G511" i="11"/>
  <c r="F511" i="11"/>
  <c r="G510" i="11"/>
  <c r="F510" i="11"/>
  <c r="G509" i="11"/>
  <c r="F509" i="11"/>
  <c r="G508" i="11"/>
  <c r="F508" i="11"/>
  <c r="G507" i="11"/>
  <c r="F507" i="11"/>
  <c r="G506" i="11"/>
  <c r="F506" i="11"/>
  <c r="G505" i="11"/>
  <c r="F505" i="11"/>
  <c r="G504" i="11"/>
  <c r="F504" i="11"/>
  <c r="G503" i="11"/>
  <c r="F503" i="11"/>
  <c r="G502" i="11"/>
  <c r="F502" i="11"/>
  <c r="G501" i="11"/>
  <c r="F501" i="11"/>
  <c r="G500" i="11"/>
  <c r="F500" i="11"/>
  <c r="G499" i="11"/>
  <c r="F499" i="11"/>
  <c r="G498" i="11"/>
  <c r="F498" i="11"/>
  <c r="G497" i="11"/>
  <c r="F497" i="11"/>
  <c r="G496" i="11"/>
  <c r="F496" i="11"/>
  <c r="G495" i="11"/>
  <c r="F495" i="11"/>
  <c r="G494" i="11"/>
  <c r="F494" i="11"/>
  <c r="G493" i="11"/>
  <c r="F493" i="11"/>
  <c r="G492" i="11"/>
  <c r="F492" i="11"/>
  <c r="G491" i="11"/>
  <c r="F491" i="11"/>
  <c r="G490" i="11"/>
  <c r="F490" i="11"/>
  <c r="G489" i="11"/>
  <c r="F489" i="11"/>
  <c r="G488" i="11"/>
  <c r="F488" i="11"/>
  <c r="G487" i="11"/>
  <c r="F487" i="11"/>
  <c r="G486" i="11"/>
  <c r="F486" i="11"/>
  <c r="G485" i="11"/>
  <c r="F485" i="11"/>
  <c r="G484" i="11"/>
  <c r="F484" i="11"/>
  <c r="G483" i="11"/>
  <c r="F483" i="11"/>
  <c r="G482" i="11"/>
  <c r="F482" i="11"/>
  <c r="G481" i="11"/>
  <c r="F481" i="11"/>
  <c r="G480" i="11"/>
  <c r="F480" i="11"/>
  <c r="G479" i="11"/>
  <c r="F479" i="11"/>
  <c r="G478" i="11"/>
  <c r="F478" i="11"/>
  <c r="G477" i="11"/>
  <c r="F477" i="11"/>
  <c r="G476" i="11"/>
  <c r="F476" i="11"/>
  <c r="G475" i="11"/>
  <c r="F475" i="11"/>
  <c r="G474" i="11"/>
  <c r="F474" i="11"/>
  <c r="G473" i="11"/>
  <c r="F473" i="11"/>
  <c r="G472" i="11"/>
  <c r="F472" i="11"/>
  <c r="G471" i="11"/>
  <c r="F471" i="11"/>
  <c r="G470" i="11"/>
  <c r="F470" i="11"/>
  <c r="G469" i="11"/>
  <c r="F469" i="11"/>
  <c r="G468" i="11"/>
  <c r="F468" i="11"/>
  <c r="G467" i="11"/>
  <c r="F467" i="11"/>
  <c r="G466" i="11"/>
  <c r="F466" i="11"/>
  <c r="G465" i="11"/>
  <c r="F465" i="11"/>
  <c r="G464" i="11"/>
  <c r="F464" i="11"/>
  <c r="G463" i="11"/>
  <c r="F463" i="11"/>
  <c r="G462" i="11"/>
  <c r="F462" i="11"/>
  <c r="G461" i="11"/>
  <c r="F461" i="11"/>
  <c r="G460" i="11"/>
  <c r="F460" i="11"/>
  <c r="G459" i="11"/>
  <c r="F459" i="11"/>
  <c r="G458" i="11"/>
  <c r="F458" i="11"/>
  <c r="G457" i="11"/>
  <c r="F457" i="11"/>
  <c r="G456" i="11"/>
  <c r="F456" i="11"/>
  <c r="G455" i="11"/>
  <c r="F455" i="11"/>
  <c r="G454" i="11"/>
  <c r="F454" i="11"/>
  <c r="G453" i="11"/>
  <c r="F453" i="11"/>
  <c r="G452" i="11"/>
  <c r="F452" i="11"/>
  <c r="G451" i="11"/>
  <c r="F451" i="11"/>
  <c r="G450" i="11"/>
  <c r="F450" i="11"/>
  <c r="G449" i="11"/>
  <c r="F449" i="11"/>
  <c r="G448" i="11"/>
  <c r="F448" i="11"/>
  <c r="G447" i="11"/>
  <c r="F447" i="11"/>
  <c r="G446" i="11"/>
  <c r="F446" i="11"/>
  <c r="G445" i="11"/>
  <c r="F445" i="11"/>
  <c r="G444" i="11"/>
  <c r="F444" i="11"/>
  <c r="G443" i="11"/>
  <c r="F443" i="11"/>
  <c r="G442" i="11"/>
  <c r="F442" i="11"/>
  <c r="G441" i="11"/>
  <c r="F441" i="11"/>
  <c r="G440" i="11"/>
  <c r="F440" i="11"/>
  <c r="G439" i="11"/>
  <c r="F439" i="11"/>
  <c r="G438" i="11"/>
  <c r="F438" i="11"/>
  <c r="G437" i="11"/>
  <c r="F437" i="11"/>
  <c r="G436" i="11"/>
  <c r="F436" i="11"/>
  <c r="G435" i="11"/>
  <c r="F435" i="11"/>
  <c r="G434" i="11"/>
  <c r="F434" i="11"/>
  <c r="G433" i="11"/>
  <c r="F433" i="11"/>
  <c r="G432" i="11"/>
  <c r="F432" i="11"/>
  <c r="G431" i="11"/>
  <c r="F431" i="11"/>
  <c r="G430" i="11"/>
  <c r="F430" i="11"/>
  <c r="G429" i="11"/>
  <c r="F429" i="11"/>
  <c r="G428" i="11"/>
  <c r="F428" i="11"/>
  <c r="G427" i="11"/>
  <c r="F427" i="11"/>
  <c r="G426" i="11"/>
  <c r="F426" i="11"/>
  <c r="G425" i="11"/>
  <c r="F425" i="11"/>
  <c r="G424" i="11"/>
  <c r="F424" i="11"/>
  <c r="G423" i="11"/>
  <c r="F423" i="11"/>
  <c r="G422" i="11"/>
  <c r="F422" i="11"/>
  <c r="G421" i="11"/>
  <c r="F421" i="11"/>
  <c r="G420" i="11"/>
  <c r="F420" i="11"/>
  <c r="G419" i="11"/>
  <c r="F419" i="11"/>
  <c r="G418" i="11"/>
  <c r="F418" i="11"/>
  <c r="G417" i="11"/>
  <c r="F417" i="11"/>
  <c r="G416" i="11"/>
  <c r="F416" i="11"/>
  <c r="G415" i="11"/>
  <c r="F415" i="11"/>
  <c r="G414" i="11"/>
  <c r="F414" i="11"/>
  <c r="G413" i="11"/>
  <c r="F413" i="11"/>
  <c r="G412" i="11"/>
  <c r="F412" i="11"/>
  <c r="G411" i="11"/>
  <c r="F411" i="11"/>
  <c r="G410" i="11"/>
  <c r="F410" i="11"/>
  <c r="G409" i="11"/>
  <c r="F409" i="11"/>
  <c r="G408" i="11"/>
  <c r="F408" i="11"/>
  <c r="G407" i="11"/>
  <c r="F407" i="11"/>
  <c r="G406" i="11"/>
  <c r="F406" i="11"/>
  <c r="G405" i="11"/>
  <c r="F405" i="11"/>
  <c r="G404" i="11"/>
  <c r="F404" i="11"/>
  <c r="G403" i="11"/>
  <c r="F403" i="11"/>
  <c r="G402" i="11"/>
  <c r="F402" i="11"/>
  <c r="G401" i="11"/>
  <c r="F401" i="11"/>
  <c r="G400" i="11"/>
  <c r="F400" i="11"/>
  <c r="G399" i="11"/>
  <c r="F399" i="11"/>
  <c r="G398" i="11"/>
  <c r="F398" i="11"/>
  <c r="G397" i="11"/>
  <c r="F397" i="11"/>
  <c r="G396" i="11"/>
  <c r="F396" i="11"/>
  <c r="G395" i="11"/>
  <c r="F395" i="11"/>
  <c r="G394" i="11"/>
  <c r="F394" i="11"/>
  <c r="G393" i="11"/>
  <c r="F393" i="11"/>
  <c r="G392" i="11"/>
  <c r="F392" i="11"/>
  <c r="G391" i="11"/>
  <c r="F391" i="11"/>
  <c r="G390" i="11"/>
  <c r="F390" i="11"/>
  <c r="G389" i="11"/>
  <c r="F389" i="11"/>
  <c r="G388" i="11"/>
  <c r="F388" i="11"/>
  <c r="G387" i="11"/>
  <c r="F387" i="11"/>
  <c r="G386" i="11"/>
  <c r="F386" i="11"/>
  <c r="G385" i="11"/>
  <c r="F385" i="11"/>
  <c r="G384" i="11"/>
  <c r="F384" i="11"/>
  <c r="G383" i="11"/>
  <c r="F383" i="11"/>
  <c r="G382" i="11"/>
  <c r="F382" i="11"/>
  <c r="G381" i="11"/>
  <c r="F381" i="11"/>
  <c r="G380" i="11"/>
  <c r="F380" i="11"/>
  <c r="G379" i="11"/>
  <c r="F379" i="11"/>
  <c r="G378" i="11"/>
  <c r="F378" i="11"/>
  <c r="G377" i="11"/>
  <c r="F377" i="11"/>
  <c r="G376" i="11"/>
  <c r="F376" i="11"/>
  <c r="G375" i="11"/>
  <c r="F375" i="11"/>
  <c r="G374" i="11"/>
  <c r="F374" i="11"/>
  <c r="G373" i="11"/>
  <c r="F373" i="11"/>
  <c r="G372" i="11"/>
  <c r="F372" i="11"/>
  <c r="G371" i="11"/>
  <c r="F371" i="11"/>
  <c r="G370" i="11"/>
  <c r="F370" i="11"/>
  <c r="G369" i="11"/>
  <c r="F369" i="11"/>
  <c r="G368" i="11"/>
  <c r="F368" i="11"/>
  <c r="G367" i="11"/>
  <c r="F367" i="11"/>
  <c r="G366" i="11"/>
  <c r="F366" i="11"/>
  <c r="G365" i="11"/>
  <c r="F365" i="11"/>
  <c r="G364" i="11"/>
  <c r="F364" i="11"/>
  <c r="G363" i="11"/>
  <c r="F363" i="11"/>
  <c r="G362" i="11"/>
  <c r="F362" i="11"/>
  <c r="G361" i="11"/>
  <c r="F361" i="11"/>
  <c r="G360" i="11"/>
  <c r="F360" i="11"/>
  <c r="G359" i="11"/>
  <c r="F359" i="11"/>
  <c r="G358" i="11"/>
  <c r="F358" i="11"/>
  <c r="G357" i="11"/>
  <c r="F357" i="11"/>
  <c r="G356" i="11"/>
  <c r="F356" i="11"/>
  <c r="G355" i="11"/>
  <c r="F355" i="11"/>
  <c r="G354" i="11"/>
  <c r="F354" i="11"/>
  <c r="G353" i="11"/>
  <c r="F353" i="11"/>
  <c r="G352" i="11"/>
  <c r="F352" i="11"/>
  <c r="G351" i="11"/>
  <c r="F351" i="11"/>
  <c r="G350" i="11"/>
  <c r="F350" i="11"/>
  <c r="G349" i="11"/>
  <c r="F349" i="11"/>
  <c r="G348" i="11"/>
  <c r="F348" i="11"/>
  <c r="G347" i="11"/>
  <c r="F347" i="11"/>
  <c r="G346" i="11"/>
  <c r="F346" i="11"/>
  <c r="G345" i="11"/>
  <c r="F345" i="11"/>
  <c r="G344" i="11"/>
  <c r="F344" i="11"/>
  <c r="G343" i="11"/>
  <c r="F343" i="11"/>
  <c r="G342" i="11"/>
  <c r="F342" i="11"/>
  <c r="G341" i="11"/>
  <c r="F341" i="11"/>
  <c r="G340" i="11"/>
  <c r="F340" i="11"/>
  <c r="G339" i="11"/>
  <c r="F339" i="11"/>
  <c r="G338" i="11"/>
  <c r="F338" i="11"/>
  <c r="G337" i="11"/>
  <c r="F337" i="11"/>
  <c r="G336" i="11"/>
  <c r="F336" i="11"/>
  <c r="G335" i="11"/>
  <c r="F335" i="11"/>
  <c r="G334" i="11"/>
  <c r="F334" i="11"/>
  <c r="G333" i="11"/>
  <c r="F333" i="11"/>
  <c r="G332" i="11"/>
  <c r="F332" i="11"/>
  <c r="G331" i="11"/>
  <c r="F331" i="11"/>
  <c r="G330" i="11"/>
  <c r="F330" i="11"/>
  <c r="G329" i="11"/>
  <c r="F329" i="11"/>
  <c r="G328" i="11"/>
  <c r="F328" i="11"/>
  <c r="G327" i="11"/>
  <c r="F327" i="11"/>
  <c r="G326" i="11"/>
  <c r="F326" i="11"/>
  <c r="G325" i="11"/>
  <c r="F325" i="11"/>
  <c r="G324" i="11"/>
  <c r="F324" i="11"/>
  <c r="G323" i="11"/>
  <c r="F323" i="11"/>
  <c r="G322" i="11"/>
  <c r="F322" i="11"/>
  <c r="G321" i="11"/>
  <c r="F321" i="11"/>
  <c r="G320" i="11"/>
  <c r="F320" i="11"/>
  <c r="G319" i="11"/>
  <c r="F319" i="11"/>
  <c r="G318" i="11"/>
  <c r="F318" i="11"/>
  <c r="G317" i="11"/>
  <c r="F317" i="11"/>
  <c r="G316" i="11"/>
  <c r="F316" i="11"/>
  <c r="G315" i="11"/>
  <c r="F315" i="11"/>
  <c r="G314" i="11"/>
  <c r="F314" i="11"/>
  <c r="G313" i="11"/>
  <c r="F313" i="11"/>
  <c r="G312" i="11"/>
  <c r="F312" i="11"/>
  <c r="G311" i="11"/>
  <c r="F311" i="11"/>
  <c r="G310" i="11"/>
  <c r="F310" i="11"/>
  <c r="G309" i="11"/>
  <c r="F309" i="11"/>
  <c r="G308" i="11"/>
  <c r="F308" i="11"/>
  <c r="G307" i="11"/>
  <c r="F307" i="11"/>
  <c r="G306" i="11"/>
  <c r="F306" i="11"/>
  <c r="G305" i="11"/>
  <c r="F305" i="11"/>
  <c r="G304" i="11"/>
  <c r="F304" i="11"/>
  <c r="G303" i="11"/>
  <c r="F303" i="11"/>
  <c r="G302" i="11"/>
  <c r="F302" i="11"/>
  <c r="G301" i="11"/>
  <c r="F301" i="11"/>
  <c r="G300" i="11"/>
  <c r="F300" i="11"/>
  <c r="G299" i="11"/>
  <c r="F299" i="11"/>
  <c r="G298" i="11"/>
  <c r="F298" i="11"/>
  <c r="G297" i="11"/>
  <c r="F297" i="11"/>
  <c r="G296" i="11"/>
  <c r="F296" i="11"/>
  <c r="G295" i="11"/>
  <c r="F295" i="11"/>
  <c r="G294" i="11"/>
  <c r="F294" i="11"/>
  <c r="G293" i="11"/>
  <c r="F293" i="11"/>
  <c r="G292" i="11"/>
  <c r="F292" i="11"/>
  <c r="G291" i="11"/>
  <c r="F291" i="11"/>
  <c r="G290" i="11"/>
  <c r="F290" i="11"/>
  <c r="G289" i="11"/>
  <c r="F289" i="11"/>
  <c r="G288" i="11"/>
  <c r="F288" i="11"/>
  <c r="G287" i="11"/>
  <c r="F287" i="11"/>
  <c r="G286" i="11"/>
  <c r="F286" i="11"/>
  <c r="G285" i="11"/>
  <c r="F285" i="11"/>
  <c r="G284" i="11"/>
  <c r="F284" i="11"/>
  <c r="G283" i="11"/>
  <c r="F283" i="11"/>
  <c r="G282" i="11"/>
  <c r="F282" i="11"/>
  <c r="G281" i="11"/>
  <c r="F281" i="11"/>
  <c r="G280" i="11"/>
  <c r="F280" i="11"/>
  <c r="G279" i="11"/>
  <c r="F279" i="11"/>
  <c r="G278" i="11"/>
  <c r="F278" i="11"/>
  <c r="G277" i="11"/>
  <c r="F277" i="11"/>
  <c r="G276" i="11"/>
  <c r="F276" i="11"/>
  <c r="G275" i="11"/>
  <c r="F275" i="11"/>
  <c r="G274" i="11"/>
  <c r="F274" i="11"/>
  <c r="G273" i="11"/>
  <c r="F273" i="11"/>
  <c r="G272" i="11"/>
  <c r="F272" i="11"/>
  <c r="G271" i="11"/>
  <c r="F271" i="11"/>
  <c r="G270" i="11"/>
  <c r="F270" i="11"/>
  <c r="G269" i="11"/>
  <c r="F269" i="11"/>
  <c r="G268" i="11"/>
  <c r="F268" i="11"/>
  <c r="G267" i="11"/>
  <c r="F267" i="11"/>
  <c r="G266" i="11"/>
  <c r="F266" i="11"/>
  <c r="G265" i="11"/>
  <c r="F265" i="11"/>
  <c r="G264" i="11"/>
  <c r="F264" i="11"/>
  <c r="G263" i="11"/>
  <c r="F263" i="11"/>
  <c r="G262" i="11"/>
  <c r="F262" i="11"/>
  <c r="G261" i="11"/>
  <c r="F261" i="11"/>
  <c r="G260" i="11"/>
  <c r="F260" i="11"/>
  <c r="G259" i="11"/>
  <c r="F259" i="11"/>
  <c r="G258" i="11"/>
  <c r="F258" i="11"/>
  <c r="G257" i="11"/>
  <c r="F257" i="11"/>
  <c r="G256" i="11"/>
  <c r="F256" i="11"/>
  <c r="G255" i="11"/>
  <c r="F255" i="11"/>
  <c r="G254" i="11"/>
  <c r="F254" i="11"/>
  <c r="G253" i="11"/>
  <c r="F253" i="11"/>
  <c r="G252" i="11"/>
  <c r="F252" i="11"/>
  <c r="G251" i="11"/>
  <c r="F251" i="11"/>
  <c r="G250" i="11"/>
  <c r="F250" i="11"/>
  <c r="G249" i="11"/>
  <c r="F249" i="11"/>
  <c r="G248" i="11"/>
  <c r="F248" i="11"/>
  <c r="G247" i="11"/>
  <c r="F247" i="11"/>
  <c r="G246" i="11"/>
  <c r="F246" i="11"/>
  <c r="G245" i="11"/>
  <c r="F245" i="11"/>
  <c r="G244" i="11"/>
  <c r="F244" i="11"/>
  <c r="G243" i="11"/>
  <c r="F243" i="11"/>
  <c r="G242" i="11"/>
  <c r="F242" i="11"/>
  <c r="G241" i="11"/>
  <c r="F241" i="11"/>
  <c r="G240" i="11"/>
  <c r="F240" i="11"/>
  <c r="G239" i="11"/>
  <c r="F239" i="11"/>
  <c r="G238" i="11"/>
  <c r="F238" i="11"/>
  <c r="G237" i="11"/>
  <c r="F237" i="11"/>
  <c r="G236" i="11"/>
  <c r="F236" i="11"/>
  <c r="G235" i="11"/>
  <c r="F235" i="11"/>
  <c r="G234" i="11"/>
  <c r="F234" i="11"/>
  <c r="G233" i="11"/>
  <c r="F233" i="11"/>
  <c r="G232" i="11"/>
  <c r="F232" i="11"/>
  <c r="G231" i="11"/>
  <c r="F231" i="11"/>
  <c r="G230" i="11"/>
  <c r="F230" i="11"/>
  <c r="G229" i="11"/>
  <c r="F229" i="11"/>
  <c r="G228" i="11"/>
  <c r="F228" i="11"/>
  <c r="G227" i="11"/>
  <c r="F227" i="11"/>
  <c r="G226" i="11"/>
  <c r="F226" i="11"/>
  <c r="G225" i="11"/>
  <c r="F225" i="11"/>
  <c r="G224" i="11"/>
  <c r="F224" i="11"/>
  <c r="G223" i="11"/>
  <c r="F223" i="11"/>
  <c r="G222" i="11"/>
  <c r="F222" i="11"/>
  <c r="G221" i="11"/>
  <c r="F221" i="11"/>
  <c r="G220" i="11"/>
  <c r="F220" i="11"/>
  <c r="G219" i="11"/>
  <c r="F219" i="11"/>
  <c r="G218" i="11"/>
  <c r="F218" i="11"/>
  <c r="G217" i="11"/>
  <c r="F217" i="11"/>
  <c r="G216" i="11"/>
  <c r="F216" i="11"/>
  <c r="G215" i="11"/>
  <c r="F215" i="11"/>
  <c r="G214" i="11"/>
  <c r="F214" i="11"/>
  <c r="G213" i="11"/>
  <c r="F213" i="11"/>
  <c r="G212" i="11"/>
  <c r="F212" i="11"/>
  <c r="G211" i="11"/>
  <c r="F211" i="11"/>
  <c r="G210" i="11"/>
  <c r="F210" i="11"/>
  <c r="G209" i="11"/>
  <c r="F209" i="11"/>
  <c r="G208" i="11"/>
  <c r="F208" i="11"/>
  <c r="G207" i="11"/>
  <c r="F207" i="11"/>
  <c r="G206" i="11"/>
  <c r="F206" i="11"/>
  <c r="G205" i="11"/>
  <c r="F205" i="11"/>
  <c r="G204" i="11"/>
  <c r="F204" i="11"/>
  <c r="G203" i="11"/>
  <c r="F203" i="11"/>
  <c r="G202" i="11"/>
  <c r="F202" i="11"/>
  <c r="G201" i="11"/>
  <c r="F201" i="11"/>
  <c r="G200" i="11"/>
  <c r="F200" i="11"/>
  <c r="G199" i="11"/>
  <c r="F199" i="11"/>
  <c r="G198" i="11"/>
  <c r="F198" i="11"/>
  <c r="G197" i="11"/>
  <c r="F197" i="11"/>
  <c r="G196" i="11"/>
  <c r="F196" i="11"/>
  <c r="G195" i="11"/>
  <c r="F195" i="11"/>
  <c r="G194" i="11"/>
  <c r="F194" i="11"/>
  <c r="G193" i="11"/>
  <c r="F193" i="11"/>
  <c r="G192" i="11"/>
  <c r="F192" i="11"/>
  <c r="G191" i="11"/>
  <c r="F191" i="11"/>
  <c r="G190" i="11"/>
  <c r="F190" i="11"/>
  <c r="G189" i="11"/>
  <c r="F189" i="1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F3" i="11"/>
  <c r="G2" i="11"/>
  <c r="D2" i="11"/>
  <c r="A1" i="15"/>
  <c r="D542" i="14"/>
  <c r="A1" i="14"/>
  <c r="F583" i="12"/>
  <c r="F582" i="12"/>
  <c r="F581" i="12"/>
  <c r="F193" i="12"/>
  <c r="F192" i="12"/>
  <c r="F191" i="12"/>
  <c r="G189" i="12"/>
  <c r="F132" i="12"/>
  <c r="F131" i="12"/>
  <c r="F130" i="12"/>
  <c r="F128" i="12"/>
  <c r="F125" i="12"/>
  <c r="F124" i="12"/>
  <c r="F123" i="12"/>
  <c r="F121" i="12"/>
  <c r="L25" i="12"/>
  <c r="M14" i="12"/>
  <c r="M8" i="12"/>
  <c r="N5" i="12"/>
  <c r="A5" i="14"/>
  <c r="A23" i="14"/>
  <c r="A22" i="14"/>
  <c r="A21" i="14"/>
  <c r="A20" i="14"/>
  <c r="A16" i="14"/>
  <c r="C18" i="14"/>
  <c r="C17" i="14"/>
  <c r="A19" i="14"/>
  <c r="A18" i="14"/>
  <c r="A17" i="14"/>
  <c r="A15" i="14"/>
  <c r="A14" i="14"/>
  <c r="A13" i="14"/>
  <c r="C7" i="14"/>
  <c r="C11" i="14"/>
  <c r="H495" i="12" l="1"/>
  <c r="H547" i="12"/>
  <c r="M475" i="12"/>
  <c r="J581" i="12"/>
  <c r="J580" i="12"/>
  <c r="J583" i="12"/>
  <c r="J582" i="12"/>
  <c r="J578" i="12"/>
  <c r="G502" i="12"/>
  <c r="G513" i="12"/>
  <c r="M23" i="12"/>
  <c r="G563" i="12"/>
  <c r="G453" i="12"/>
  <c r="H513" i="12"/>
  <c r="H502" i="12"/>
  <c r="N23" i="12"/>
  <c r="B20" i="15" s="1"/>
  <c r="C20" i="15" s="1"/>
  <c r="H563" i="12"/>
  <c r="H546" i="12"/>
  <c r="H554" i="12"/>
  <c r="I581" i="12"/>
  <c r="I580" i="12"/>
  <c r="G495" i="12"/>
  <c r="G547" i="12"/>
  <c r="G554" i="12"/>
  <c r="G546" i="12"/>
  <c r="I583" i="12"/>
  <c r="I578" i="12"/>
  <c r="I582" i="12"/>
  <c r="M18" i="12"/>
  <c r="M17" i="12"/>
  <c r="C5" i="15"/>
  <c r="G309" i="12"/>
  <c r="G311" i="12"/>
  <c r="G310" i="12"/>
  <c r="G313" i="12"/>
  <c r="G421" i="12"/>
  <c r="H309" i="12"/>
  <c r="H311" i="12"/>
  <c r="H310" i="12"/>
  <c r="H313" i="12"/>
  <c r="H421" i="12"/>
  <c r="H350" i="12"/>
  <c r="C151" i="14"/>
  <c r="L364" i="12"/>
  <c r="G193" i="12"/>
  <c r="G312" i="12"/>
  <c r="G304" i="12"/>
  <c r="G314" i="12"/>
  <c r="G355" i="12"/>
  <c r="G359" i="12"/>
  <c r="B152" i="14"/>
  <c r="K365" i="12"/>
  <c r="B151" i="14"/>
  <c r="K364" i="12"/>
  <c r="G350" i="12"/>
  <c r="H193" i="12"/>
  <c r="H304" i="12"/>
  <c r="H312" i="12"/>
  <c r="H314" i="12"/>
  <c r="H355" i="12"/>
  <c r="H359" i="12"/>
  <c r="C152" i="14"/>
  <c r="L365" i="12"/>
  <c r="G302" i="12"/>
  <c r="G303" i="12"/>
  <c r="H303" i="12"/>
  <c r="H302" i="12"/>
  <c r="N19" i="12"/>
  <c r="N9" i="12"/>
  <c r="N11" i="12" s="1"/>
  <c r="B16" i="15" s="1"/>
  <c r="C16" i="15" s="1"/>
  <c r="M9" i="12"/>
  <c r="M11" i="12" s="1"/>
  <c r="N14" i="12"/>
  <c r="N18" i="12" s="1"/>
  <c r="N15" i="12"/>
  <c r="A8" i="15"/>
  <c r="A18" i="15"/>
  <c r="N6" i="12"/>
  <c r="N10" i="12" s="1"/>
  <c r="B15" i="15" s="1"/>
  <c r="C15" i="15" s="1"/>
  <c r="F9" i="14"/>
  <c r="F8" i="14"/>
  <c r="C10" i="14"/>
  <c r="F7" i="14"/>
  <c r="A11" i="14"/>
  <c r="A8" i="14"/>
  <c r="C9" i="14"/>
  <c r="C8" i="14"/>
  <c r="A10" i="14"/>
  <c r="A9" i="14"/>
  <c r="A7" i="14"/>
  <c r="C313" i="14"/>
  <c r="F475" i="12"/>
  <c r="A316" i="14" s="1"/>
  <c r="F474" i="12"/>
  <c r="A315" i="14" s="1"/>
  <c r="F473" i="12"/>
  <c r="A314" i="14" s="1"/>
  <c r="G471" i="12"/>
  <c r="A312" i="14" s="1"/>
  <c r="E314" i="14" s="1"/>
  <c r="H472" i="12"/>
  <c r="G472" i="12"/>
  <c r="G464" i="12"/>
  <c r="A265" i="14" s="1"/>
  <c r="E267" i="14" s="1"/>
  <c r="F352" i="12"/>
  <c r="G459" i="12"/>
  <c r="A226" i="14" s="1"/>
  <c r="E228" i="14" s="1"/>
  <c r="C266" i="14"/>
  <c r="F405" i="12"/>
  <c r="C454" i="12"/>
  <c r="A4" i="14"/>
  <c r="W76" i="14"/>
  <c r="C227" i="14"/>
  <c r="F470" i="12"/>
  <c r="A271" i="14" s="1"/>
  <c r="F469" i="12"/>
  <c r="A270" i="14" s="1"/>
  <c r="F468" i="12"/>
  <c r="A269" i="14" s="1"/>
  <c r="F467" i="12"/>
  <c r="A268" i="14" s="1"/>
  <c r="F466" i="12"/>
  <c r="A267" i="14" s="1"/>
  <c r="H465" i="12"/>
  <c r="G465" i="12"/>
  <c r="N17" i="12" l="1"/>
  <c r="B9" i="15"/>
  <c r="G360" i="12"/>
  <c r="G315" i="12"/>
  <c r="H360" i="12"/>
  <c r="B7" i="15"/>
  <c r="C7" i="15" s="1"/>
  <c r="B19" i="15"/>
  <c r="C19" i="15" s="1"/>
  <c r="B10" i="15"/>
  <c r="C10" i="15" s="1"/>
  <c r="B6" i="15"/>
  <c r="C6" i="15" s="1"/>
  <c r="F463" i="12"/>
  <c r="A230" i="14" s="1"/>
  <c r="F462" i="12"/>
  <c r="A229" i="14" s="1"/>
  <c r="F461" i="12"/>
  <c r="A228" i="14" s="1"/>
  <c r="H460" i="12"/>
  <c r="G460" i="12"/>
  <c r="A225" i="14"/>
  <c r="G397" i="12"/>
  <c r="C361" i="14"/>
  <c r="C360" i="14"/>
  <c r="F580" i="12"/>
  <c r="B955" i="14"/>
  <c r="B18" i="15" l="1"/>
  <c r="C18" i="15" s="1"/>
  <c r="B17" i="15"/>
  <c r="C17" i="15" s="1"/>
  <c r="B8" i="15"/>
  <c r="C8" i="15" s="1"/>
  <c r="A958" i="14"/>
  <c r="A957" i="14"/>
  <c r="A955" i="14"/>
  <c r="F579" i="12"/>
  <c r="A954" i="14" s="1"/>
  <c r="F573" i="12"/>
  <c r="F578" i="12"/>
  <c r="F576" i="12"/>
  <c r="F574" i="12"/>
  <c r="F572" i="12"/>
  <c r="F571" i="12"/>
  <c r="F569" i="12"/>
  <c r="F566" i="12"/>
  <c r="F565" i="12"/>
  <c r="F564" i="12"/>
  <c r="F563" i="12"/>
  <c r="F561" i="12"/>
  <c r="A866" i="14" s="1"/>
  <c r="E868" i="14" s="1"/>
  <c r="F554" i="12"/>
  <c r="F553" i="12"/>
  <c r="F552" i="12"/>
  <c r="F550" i="12"/>
  <c r="F547" i="12"/>
  <c r="F546" i="12"/>
  <c r="F545" i="12"/>
  <c r="F544" i="12"/>
  <c r="F567" i="12"/>
  <c r="F555" i="12"/>
  <c r="F548" i="12"/>
  <c r="F543" i="12"/>
  <c r="F541" i="12"/>
  <c r="A772" i="14" s="1"/>
  <c r="I501" i="12"/>
  <c r="A732" i="14" s="1"/>
  <c r="I500" i="12"/>
  <c r="A731" i="14" s="1"/>
  <c r="E723" i="14" s="1"/>
  <c r="F513" i="12"/>
  <c r="F512" i="12"/>
  <c r="F511" i="12"/>
  <c r="F509" i="12"/>
  <c r="F414" i="12"/>
  <c r="F508" i="12"/>
  <c r="F507" i="12"/>
  <c r="F506" i="12"/>
  <c r="F514" i="12"/>
  <c r="F503" i="12"/>
  <c r="F502" i="12"/>
  <c r="F501" i="12"/>
  <c r="F500" i="12"/>
  <c r="F498" i="12"/>
  <c r="A421" i="14" l="1"/>
  <c r="G420" i="14"/>
  <c r="E725" i="14"/>
  <c r="F496" i="12"/>
  <c r="F494" i="12"/>
  <c r="F493" i="12"/>
  <c r="F492" i="12"/>
  <c r="F490" i="12"/>
  <c r="F452" i="12"/>
  <c r="A174" i="14" s="1"/>
  <c r="F451" i="12"/>
  <c r="A173" i="14" s="1"/>
  <c r="F453" i="12"/>
  <c r="A175" i="14" s="1"/>
  <c r="F450" i="12"/>
  <c r="F345" i="12"/>
  <c r="A627" i="14"/>
  <c r="A586" i="14"/>
  <c r="E543" i="14"/>
  <c r="A541" i="14"/>
  <c r="D500" i="14"/>
  <c r="E501" i="14" s="1"/>
  <c r="C457" i="12"/>
  <c r="C456" i="12"/>
  <c r="C455" i="12"/>
  <c r="A470" i="14"/>
  <c r="A351" i="14"/>
  <c r="F416" i="12"/>
  <c r="G422" i="14" s="1"/>
  <c r="F415" i="12"/>
  <c r="F413" i="12"/>
  <c r="F412" i="12"/>
  <c r="F411" i="12"/>
  <c r="F410" i="12"/>
  <c r="G407" i="12"/>
  <c r="A415" i="14" s="1"/>
  <c r="B424" i="14" s="1"/>
  <c r="F404" i="12"/>
  <c r="F403" i="12"/>
  <c r="F402" i="12"/>
  <c r="F400" i="12"/>
  <c r="G419" i="14" l="1"/>
  <c r="A420" i="14"/>
  <c r="A419" i="14"/>
  <c r="G418" i="14"/>
  <c r="A417" i="14"/>
  <c r="G417" i="14"/>
  <c r="G421" i="14"/>
  <c r="A422" i="14"/>
  <c r="D587" i="14"/>
  <c r="E588" i="14" s="1"/>
  <c r="A171" i="14" l="1"/>
  <c r="E172" i="14" s="1"/>
  <c r="A152" i="14"/>
  <c r="A151" i="14"/>
  <c r="A149" i="14"/>
  <c r="A111" i="14"/>
  <c r="A110" i="14"/>
  <c r="A109" i="14"/>
  <c r="D108" i="14"/>
  <c r="A107" i="14"/>
  <c r="A112" i="14" l="1"/>
  <c r="A12" i="14"/>
  <c r="S76" i="14"/>
  <c r="A498" i="14"/>
  <c r="A25" i="14"/>
  <c r="A6" i="14"/>
  <c r="A26" i="14"/>
  <c r="E85" i="14" l="1"/>
  <c r="A75" i="14"/>
  <c r="F351" i="12"/>
  <c r="F350" i="12"/>
  <c r="F349" i="12"/>
  <c r="F348" i="12"/>
  <c r="A41" i="14"/>
  <c r="A68" i="14"/>
  <c r="A40" i="14"/>
  <c r="A37" i="14"/>
  <c r="A39" i="14"/>
  <c r="A36" i="14"/>
  <c r="A35" i="14"/>
  <c r="A33" i="14"/>
  <c r="A31" i="14"/>
  <c r="A30" i="14"/>
  <c r="A29" i="14"/>
  <c r="A28" i="14"/>
  <c r="A10" i="15"/>
  <c r="A9" i="15"/>
  <c r="A7" i="15"/>
  <c r="A6" i="15"/>
  <c r="C315" i="14"/>
  <c r="C270" i="14"/>
  <c r="C269" i="14"/>
  <c r="C229" i="14"/>
  <c r="C268" i="14"/>
  <c r="C267" i="14"/>
  <c r="C228" i="14"/>
  <c r="H123" i="12"/>
  <c r="B315" i="14"/>
  <c r="B270" i="14"/>
  <c r="B269" i="14"/>
  <c r="B229" i="14"/>
  <c r="B268" i="14"/>
  <c r="B267" i="14"/>
  <c r="B228" i="14"/>
  <c r="G415" i="12"/>
  <c r="G400" i="12"/>
  <c r="H475" i="12" l="1"/>
  <c r="C316" i="14" s="1"/>
  <c r="C314" i="14"/>
  <c r="B314" i="14"/>
  <c r="G475" i="12"/>
  <c r="B316" i="14" s="1"/>
  <c r="G463" i="12"/>
  <c r="B230" i="14" s="1"/>
  <c r="H463" i="12"/>
  <c r="C230" i="14" s="1"/>
  <c r="G470" i="12"/>
  <c r="B271" i="14" s="1"/>
  <c r="H470" i="12"/>
  <c r="C271" i="14" s="1"/>
  <c r="B956" i="14"/>
  <c r="B957" i="14"/>
  <c r="B958" i="14"/>
  <c r="C957" i="14"/>
  <c r="B1" i="11" l="1"/>
  <c r="B27" i="5" s="1"/>
  <c r="C19" i="5" l="1"/>
  <c r="B15" i="5"/>
  <c r="B13" i="5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D1" i="14" l="1"/>
  <c r="D614" i="11"/>
  <c r="D613" i="11"/>
  <c r="D612" i="11"/>
  <c r="D611" i="11"/>
  <c r="D610" i="11"/>
  <c r="D609" i="11"/>
  <c r="D608" i="11"/>
  <c r="D607" i="11"/>
  <c r="D606" i="11"/>
  <c r="D605" i="11"/>
  <c r="D604" i="11"/>
  <c r="D603" i="11"/>
  <c r="D602" i="11"/>
  <c r="D601" i="11"/>
  <c r="D600" i="11"/>
  <c r="D599" i="11"/>
  <c r="D598" i="11"/>
  <c r="D597" i="11"/>
  <c r="D596" i="11"/>
  <c r="D595" i="11"/>
  <c r="D594" i="11"/>
  <c r="D593" i="11"/>
  <c r="D592" i="11"/>
  <c r="D591" i="11"/>
  <c r="D590" i="11"/>
  <c r="D589" i="11"/>
  <c r="D588" i="11"/>
  <c r="D587" i="11"/>
  <c r="D586" i="11"/>
  <c r="D585" i="11"/>
  <c r="D584" i="11"/>
  <c r="D583" i="11"/>
  <c r="D582" i="11"/>
  <c r="D581" i="11"/>
  <c r="D580" i="11"/>
  <c r="D579" i="11"/>
  <c r="D578" i="11"/>
  <c r="D577" i="11"/>
  <c r="D576" i="11"/>
  <c r="D575" i="11"/>
  <c r="D574" i="11"/>
  <c r="D573" i="11"/>
  <c r="D572" i="11"/>
  <c r="D571" i="11"/>
  <c r="D570" i="11"/>
  <c r="D569" i="11"/>
  <c r="D568" i="11"/>
  <c r="D567" i="11"/>
  <c r="D566" i="11"/>
  <c r="D565" i="11"/>
  <c r="D564" i="11"/>
  <c r="D563" i="11"/>
  <c r="D562" i="11"/>
  <c r="D561" i="11"/>
  <c r="D560" i="11"/>
  <c r="D559" i="11"/>
  <c r="D558" i="11"/>
  <c r="D557" i="11"/>
  <c r="D556" i="11"/>
  <c r="D555" i="11"/>
  <c r="D554" i="11"/>
  <c r="D553" i="11"/>
  <c r="D552" i="11"/>
  <c r="D551" i="11"/>
  <c r="D550" i="11"/>
  <c r="D549" i="11"/>
  <c r="D548" i="11"/>
  <c r="D547" i="11"/>
  <c r="D546" i="11"/>
  <c r="D545" i="11"/>
  <c r="D544" i="11"/>
  <c r="D543" i="11"/>
  <c r="D542" i="11"/>
  <c r="D541" i="11"/>
  <c r="D540" i="11"/>
  <c r="D539" i="11"/>
  <c r="D538" i="11"/>
  <c r="D537" i="11"/>
  <c r="D536" i="11"/>
  <c r="D535" i="11"/>
  <c r="D534" i="11"/>
  <c r="D533" i="11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B4" i="5" l="1"/>
  <c r="F370" i="12"/>
  <c r="A21" i="15"/>
  <c r="A20" i="15"/>
  <c r="A19" i="15"/>
  <c r="A17" i="15"/>
  <c r="A16" i="15"/>
  <c r="A15" i="15"/>
  <c r="A2" i="15"/>
  <c r="N8" i="12" l="1"/>
  <c r="N7" i="12"/>
  <c r="M7" i="12"/>
  <c r="C9" i="15" l="1"/>
  <c r="N4" i="12"/>
  <c r="M4" i="12"/>
  <c r="N22" i="12" l="1"/>
  <c r="M22" i="12"/>
  <c r="H190" i="12"/>
  <c r="G190" i="12"/>
  <c r="H129" i="12"/>
  <c r="G129" i="12"/>
  <c r="H122" i="12"/>
  <c r="A953" i="14"/>
  <c r="C952" i="14"/>
  <c r="A951" i="14"/>
  <c r="E953" i="14" s="1"/>
  <c r="J577" i="12"/>
  <c r="I577" i="12"/>
  <c r="A912" i="14"/>
  <c r="E914" i="14" s="1"/>
  <c r="C913" i="14"/>
  <c r="A917" i="14"/>
  <c r="A916" i="14"/>
  <c r="A915" i="14"/>
  <c r="A914" i="14"/>
  <c r="A872" i="14"/>
  <c r="A871" i="14"/>
  <c r="A870" i="14"/>
  <c r="A869" i="14"/>
  <c r="A868" i="14"/>
  <c r="H570" i="12"/>
  <c r="G570" i="12"/>
  <c r="H562" i="12"/>
  <c r="G562" i="12"/>
  <c r="C867" i="14"/>
  <c r="E774" i="14"/>
  <c r="A822" i="14"/>
  <c r="C818" i="14"/>
  <c r="A821" i="14"/>
  <c r="A820" i="14"/>
  <c r="A819" i="14"/>
  <c r="A817" i="14"/>
  <c r="E819" i="14" s="1"/>
  <c r="A779" i="14"/>
  <c r="A778" i="14"/>
  <c r="A777" i="14"/>
  <c r="A776" i="14"/>
  <c r="A775" i="14"/>
  <c r="A774" i="14"/>
  <c r="H551" i="12"/>
  <c r="G551" i="12"/>
  <c r="H542" i="12"/>
  <c r="G542" i="12"/>
  <c r="C773" i="14"/>
  <c r="C676" i="14"/>
  <c r="A680" i="14"/>
  <c r="A679" i="14"/>
  <c r="A678" i="14"/>
  <c r="A677" i="14"/>
  <c r="A675" i="14"/>
  <c r="E677" i="14" s="1"/>
  <c r="A730" i="14"/>
  <c r="A729" i="14"/>
  <c r="A728" i="14"/>
  <c r="A727" i="14"/>
  <c r="A726" i="14"/>
  <c r="A725" i="14"/>
  <c r="A724" i="14"/>
  <c r="A723" i="14"/>
  <c r="A722" i="14"/>
  <c r="C721" i="14"/>
  <c r="H505" i="12"/>
  <c r="G505" i="12"/>
  <c r="A956" i="14"/>
  <c r="H499" i="12"/>
  <c r="G499" i="12"/>
  <c r="A720" i="14"/>
  <c r="A628" i="14"/>
  <c r="A634" i="14"/>
  <c r="A633" i="14"/>
  <c r="A632" i="14"/>
  <c r="A631" i="14"/>
  <c r="A630" i="14"/>
  <c r="H491" i="12"/>
  <c r="G491" i="12"/>
  <c r="C629" i="14"/>
  <c r="A590" i="14"/>
  <c r="A589" i="14"/>
  <c r="A588" i="14"/>
  <c r="A545" i="14"/>
  <c r="A544" i="14"/>
  <c r="A543" i="14"/>
  <c r="C542" i="14"/>
  <c r="C587" i="14"/>
  <c r="A502" i="14"/>
  <c r="A501" i="14"/>
  <c r="A500" i="14"/>
  <c r="G122" i="12"/>
  <c r="G301" i="12"/>
  <c r="E630" i="14" l="1"/>
  <c r="E721" i="14"/>
  <c r="A476" i="14"/>
  <c r="A475" i="14"/>
  <c r="A474" i="14"/>
  <c r="A473" i="14"/>
  <c r="A472" i="14"/>
  <c r="C471" i="14"/>
  <c r="O416" i="14" l="1"/>
  <c r="F421" i="12"/>
  <c r="M419" i="14" s="1"/>
  <c r="F420" i="12"/>
  <c r="M418" i="14" s="1"/>
  <c r="F419" i="12"/>
  <c r="M417" i="14" s="1"/>
  <c r="A423" i="14"/>
  <c r="Q414" i="12"/>
  <c r="J421" i="14" s="1"/>
  <c r="M415" i="12"/>
  <c r="I415" i="12"/>
  <c r="D422" i="14" s="1"/>
  <c r="H418" i="12"/>
  <c r="G418" i="12"/>
  <c r="L416" i="14"/>
  <c r="I416" i="14"/>
  <c r="F416" i="14"/>
  <c r="A418" i="14"/>
  <c r="C416" i="14"/>
  <c r="Q413" i="12"/>
  <c r="J420" i="14" s="1"/>
  <c r="Q412" i="12"/>
  <c r="J419" i="14" s="1"/>
  <c r="Q411" i="12"/>
  <c r="J418" i="14" s="1"/>
  <c r="Q410" i="12"/>
  <c r="J417" i="14" s="1"/>
  <c r="M414" i="12"/>
  <c r="M413" i="12"/>
  <c r="M412" i="12"/>
  <c r="M411" i="12"/>
  <c r="M410" i="12"/>
  <c r="I414" i="12"/>
  <c r="D421" i="14" s="1"/>
  <c r="I413" i="12"/>
  <c r="D420" i="14" s="1"/>
  <c r="I412" i="12"/>
  <c r="D419" i="14" s="1"/>
  <c r="I411" i="12"/>
  <c r="D418" i="14" s="1"/>
  <c r="I410" i="12"/>
  <c r="D417" i="14" s="1"/>
  <c r="O409" i="12"/>
  <c r="N409" i="12"/>
  <c r="S409" i="12"/>
  <c r="R409" i="12"/>
  <c r="K409" i="12"/>
  <c r="J409" i="12"/>
  <c r="H409" i="12"/>
  <c r="G409" i="12"/>
  <c r="L353" i="14"/>
  <c r="I353" i="14"/>
  <c r="F353" i="14"/>
  <c r="A359" i="14"/>
  <c r="G358" i="14" s="1"/>
  <c r="A358" i="14"/>
  <c r="G357" i="14" s="1"/>
  <c r="A357" i="14"/>
  <c r="G356" i="14" s="1"/>
  <c r="A356" i="14"/>
  <c r="G355" i="14" s="1"/>
  <c r="A355" i="14"/>
  <c r="A354" i="14"/>
  <c r="G354" i="14" s="1"/>
  <c r="Q403" i="12"/>
  <c r="J357" i="14" s="1"/>
  <c r="M404" i="12"/>
  <c r="I404" i="12"/>
  <c r="D358" i="14" s="1"/>
  <c r="Q402" i="12"/>
  <c r="J356" i="14" s="1"/>
  <c r="Q401" i="12"/>
  <c r="J355" i="14" s="1"/>
  <c r="Q400" i="12"/>
  <c r="J354" i="14" s="1"/>
  <c r="M403" i="12"/>
  <c r="M402" i="12"/>
  <c r="M401" i="12"/>
  <c r="M400" i="12"/>
  <c r="I403" i="12"/>
  <c r="D357" i="14" s="1"/>
  <c r="I402" i="12"/>
  <c r="D356" i="14" s="1"/>
  <c r="I401" i="12"/>
  <c r="D355" i="14" s="1"/>
  <c r="I400" i="12"/>
  <c r="D354" i="14" s="1"/>
  <c r="S399" i="12"/>
  <c r="R399" i="12"/>
  <c r="H450" i="12"/>
  <c r="O399" i="12"/>
  <c r="K399" i="12"/>
  <c r="H399" i="12"/>
  <c r="G450" i="12"/>
  <c r="N399" i="12"/>
  <c r="J399" i="12"/>
  <c r="G399" i="12"/>
  <c r="C353" i="14"/>
  <c r="C172" i="14"/>
  <c r="B173" i="14" l="1"/>
  <c r="E128" i="14"/>
  <c r="A73" i="14"/>
  <c r="C916" i="14" l="1"/>
  <c r="B916" i="14"/>
  <c r="C915" i="14"/>
  <c r="B915" i="14"/>
  <c r="C871" i="14"/>
  <c r="B871" i="14"/>
  <c r="C870" i="14"/>
  <c r="B870" i="14"/>
  <c r="C776" i="14"/>
  <c r="C820" i="14"/>
  <c r="B820" i="14"/>
  <c r="C775" i="14"/>
  <c r="B775" i="14"/>
  <c r="C632" i="14"/>
  <c r="B632" i="14"/>
  <c r="C728" i="14"/>
  <c r="B728" i="14"/>
  <c r="C727" i="14"/>
  <c r="B727" i="14"/>
  <c r="C726" i="14"/>
  <c r="B726" i="14"/>
  <c r="C725" i="14"/>
  <c r="B725" i="14"/>
  <c r="C724" i="14"/>
  <c r="B724" i="14"/>
  <c r="C723" i="14"/>
  <c r="B723" i="14"/>
  <c r="B722" i="14"/>
  <c r="C631" i="14"/>
  <c r="B631" i="14"/>
  <c r="C476" i="14"/>
  <c r="B476" i="14"/>
  <c r="C475" i="14"/>
  <c r="B475" i="14"/>
  <c r="C474" i="14"/>
  <c r="B474" i="14"/>
  <c r="C473" i="14"/>
  <c r="B473" i="14"/>
  <c r="C472" i="14"/>
  <c r="B472" i="14"/>
  <c r="C174" i="14"/>
  <c r="H416" i="12"/>
  <c r="G416" i="12"/>
  <c r="N417" i="14"/>
  <c r="G404" i="12"/>
  <c r="B358" i="14" s="1"/>
  <c r="H413" i="12"/>
  <c r="C420" i="14" s="1"/>
  <c r="B420" i="14"/>
  <c r="G403" i="12"/>
  <c r="B357" i="14" s="1"/>
  <c r="H412" i="12"/>
  <c r="C419" i="14" s="1"/>
  <c r="G412" i="12"/>
  <c r="B419" i="14" s="1"/>
  <c r="G402" i="12"/>
  <c r="B356" i="14" s="1"/>
  <c r="H411" i="12"/>
  <c r="H400" i="12"/>
  <c r="H405" i="12"/>
  <c r="G405" i="12"/>
  <c r="H349" i="12"/>
  <c r="C71" i="14" s="1"/>
  <c r="G349" i="12"/>
  <c r="B71" i="14" s="1"/>
  <c r="H364" i="12"/>
  <c r="G364" i="12"/>
  <c r="H365" i="12"/>
  <c r="G365" i="12"/>
  <c r="H192" i="12"/>
  <c r="C589" i="14" s="1"/>
  <c r="B589" i="14"/>
  <c r="H191" i="12"/>
  <c r="C588" i="14" s="1"/>
  <c r="G191" i="12"/>
  <c r="B588" i="14" s="1"/>
  <c r="H131" i="12"/>
  <c r="C544" i="14" s="1"/>
  <c r="G131" i="12"/>
  <c r="B544" i="14" s="1"/>
  <c r="H130" i="12"/>
  <c r="C543" i="14" s="1"/>
  <c r="G130" i="12"/>
  <c r="B543" i="14" s="1"/>
  <c r="H132" i="12"/>
  <c r="C545" i="14" s="1"/>
  <c r="B545" i="14"/>
  <c r="C502" i="14"/>
  <c r="B502" i="14"/>
  <c r="H124" i="12"/>
  <c r="C501" i="14" s="1"/>
  <c r="G124" i="12"/>
  <c r="B501" i="14" s="1"/>
  <c r="C500" i="14"/>
  <c r="E5" i="12"/>
  <c r="D5" i="12"/>
  <c r="G347" i="12"/>
  <c r="C499" i="14"/>
  <c r="C108" i="14"/>
  <c r="C150" i="14"/>
  <c r="C69" i="14"/>
  <c r="C34" i="14"/>
  <c r="C27" i="14"/>
  <c r="E313" i="14"/>
  <c r="B776" i="14" l="1"/>
  <c r="G548" i="12"/>
  <c r="M27" i="12"/>
  <c r="B11" i="15" s="1"/>
  <c r="C11" i="15" s="1"/>
  <c r="N26" i="12"/>
  <c r="N28" i="12" s="1"/>
  <c r="E227" i="14"/>
  <c r="E266" i="14"/>
  <c r="B360" i="14"/>
  <c r="E629" i="14"/>
  <c r="E724" i="14"/>
  <c r="E722" i="14"/>
  <c r="E720" i="14"/>
  <c r="E500" i="14"/>
  <c r="E587" i="14"/>
  <c r="E542" i="14"/>
  <c r="E68" i="14"/>
  <c r="E150" i="14"/>
  <c r="E108" i="14"/>
  <c r="B500" i="14"/>
  <c r="B778" i="14"/>
  <c r="E867" i="14"/>
  <c r="E952" i="14"/>
  <c r="E913" i="14"/>
  <c r="C778" i="14"/>
  <c r="B868" i="14"/>
  <c r="B954" i="14"/>
  <c r="C868" i="14"/>
  <c r="C954" i="14"/>
  <c r="C955" i="14"/>
  <c r="C956" i="14"/>
  <c r="C731" i="14"/>
  <c r="C677" i="14"/>
  <c r="C678" i="14"/>
  <c r="C732" i="14"/>
  <c r="C774" i="14"/>
  <c r="C821" i="14"/>
  <c r="C777" i="14"/>
  <c r="C958" i="14"/>
  <c r="C953" i="14"/>
  <c r="B678" i="14"/>
  <c r="B732" i="14"/>
  <c r="B774" i="14"/>
  <c r="B821" i="14"/>
  <c r="B777" i="14"/>
  <c r="B953" i="14"/>
  <c r="G555" i="12"/>
  <c r="B822" i="14" s="1"/>
  <c r="B819" i="14"/>
  <c r="G567" i="12"/>
  <c r="B872" i="14" s="1"/>
  <c r="B869" i="14"/>
  <c r="B914" i="14"/>
  <c r="G574" i="12"/>
  <c r="B917" i="14" s="1"/>
  <c r="B677" i="14"/>
  <c r="B731" i="14"/>
  <c r="C819" i="14"/>
  <c r="C869" i="14"/>
  <c r="H567" i="12"/>
  <c r="C872" i="14" s="1"/>
  <c r="C914" i="14"/>
  <c r="H574" i="12"/>
  <c r="C917" i="14" s="1"/>
  <c r="E773" i="14"/>
  <c r="E818" i="14"/>
  <c r="E676" i="14"/>
  <c r="C633" i="14"/>
  <c r="B633" i="14"/>
  <c r="B630" i="14"/>
  <c r="C630" i="14"/>
  <c r="C722" i="14"/>
  <c r="C729" i="14"/>
  <c r="C590" i="14"/>
  <c r="B590" i="14"/>
  <c r="D471" i="14"/>
  <c r="H410" i="12"/>
  <c r="C417" i="14" s="1"/>
  <c r="O419" i="14"/>
  <c r="H414" i="12"/>
  <c r="C421" i="14" s="1"/>
  <c r="H419" i="12"/>
  <c r="O417" i="14" s="1"/>
  <c r="H415" i="12"/>
  <c r="C422" i="14" s="1"/>
  <c r="H420" i="12"/>
  <c r="O418" i="14" s="1"/>
  <c r="O415" i="12"/>
  <c r="I422" i="14" s="1"/>
  <c r="S414" i="12"/>
  <c r="L421" i="14" s="1"/>
  <c r="C423" i="14"/>
  <c r="K415" i="12"/>
  <c r="F422" i="14" s="1"/>
  <c r="R414" i="12"/>
  <c r="K421" i="14" s="1"/>
  <c r="B423" i="14"/>
  <c r="J415" i="12"/>
  <c r="E422" i="14" s="1"/>
  <c r="N415" i="12"/>
  <c r="J410" i="12"/>
  <c r="E417" i="14" s="1"/>
  <c r="B418" i="14"/>
  <c r="K410" i="12"/>
  <c r="F417" i="14" s="1"/>
  <c r="C418" i="14"/>
  <c r="N419" i="14"/>
  <c r="G414" i="12"/>
  <c r="B421" i="14" s="1"/>
  <c r="N418" i="14"/>
  <c r="B422" i="14"/>
  <c r="R411" i="12"/>
  <c r="K418" i="14" s="1"/>
  <c r="N412" i="12"/>
  <c r="J412" i="12"/>
  <c r="E419" i="14" s="1"/>
  <c r="S411" i="12"/>
  <c r="L418" i="14" s="1"/>
  <c r="O412" i="12"/>
  <c r="I419" i="14" s="1"/>
  <c r="K412" i="12"/>
  <c r="F419" i="14" s="1"/>
  <c r="K411" i="12"/>
  <c r="F418" i="14" s="1"/>
  <c r="S410" i="12"/>
  <c r="L417" i="14" s="1"/>
  <c r="O411" i="12"/>
  <c r="I418" i="14" s="1"/>
  <c r="N411" i="12"/>
  <c r="J411" i="12"/>
  <c r="E418" i="14" s="1"/>
  <c r="R410" i="12"/>
  <c r="K417" i="14" s="1"/>
  <c r="S403" i="12"/>
  <c r="L357" i="14" s="1"/>
  <c r="C359" i="14"/>
  <c r="K404" i="12"/>
  <c r="F358" i="14" s="1"/>
  <c r="O404" i="12"/>
  <c r="I358" i="14" s="1"/>
  <c r="N400" i="12"/>
  <c r="B354" i="14"/>
  <c r="O400" i="12"/>
  <c r="I354" i="14" s="1"/>
  <c r="C354" i="14"/>
  <c r="R403" i="12"/>
  <c r="K357" i="14" s="1"/>
  <c r="B359" i="14"/>
  <c r="N404" i="12"/>
  <c r="J404" i="12"/>
  <c r="E358" i="14" s="1"/>
  <c r="E171" i="14"/>
  <c r="J400" i="12"/>
  <c r="E354" i="14" s="1"/>
  <c r="B355" i="14"/>
  <c r="K400" i="12"/>
  <c r="F354" i="14" s="1"/>
  <c r="H401" i="12"/>
  <c r="C355" i="14" s="1"/>
  <c r="K401" i="12"/>
  <c r="F355" i="14" s="1"/>
  <c r="H402" i="12"/>
  <c r="C356" i="14" s="1"/>
  <c r="K403" i="12"/>
  <c r="F357" i="14" s="1"/>
  <c r="H404" i="12"/>
  <c r="C358" i="14" s="1"/>
  <c r="R401" i="12"/>
  <c r="K355" i="14" s="1"/>
  <c r="J402" i="12"/>
  <c r="E356" i="14" s="1"/>
  <c r="N402" i="12"/>
  <c r="H453" i="12"/>
  <c r="C173" i="14"/>
  <c r="C175" i="14" s="1"/>
  <c r="K402" i="12"/>
  <c r="F356" i="14" s="1"/>
  <c r="H403" i="12"/>
  <c r="C357" i="14" s="1"/>
  <c r="N401" i="12"/>
  <c r="J401" i="12"/>
  <c r="E355" i="14" s="1"/>
  <c r="R400" i="12"/>
  <c r="K354" i="14" s="1"/>
  <c r="N403" i="12"/>
  <c r="J403" i="12"/>
  <c r="E357" i="14" s="1"/>
  <c r="R402" i="12"/>
  <c r="K356" i="14" s="1"/>
  <c r="B174" i="14"/>
  <c r="B175" i="14" s="1"/>
  <c r="H356" i="12"/>
  <c r="H351" i="12"/>
  <c r="C73" i="14" s="1"/>
  <c r="G356" i="12"/>
  <c r="G351" i="12"/>
  <c r="B73" i="14" s="1"/>
  <c r="B72" i="14"/>
  <c r="G348" i="12"/>
  <c r="H348" i="12"/>
  <c r="L363" i="12"/>
  <c r="K363" i="12"/>
  <c r="F368" i="12"/>
  <c r="F369" i="12" s="1"/>
  <c r="C12" i="15" l="1"/>
  <c r="B3" i="15" s="1"/>
  <c r="B21" i="15"/>
  <c r="C21" i="15" s="1"/>
  <c r="C22" i="15" s="1"/>
  <c r="H352" i="12"/>
  <c r="G352" i="12"/>
  <c r="H496" i="12"/>
  <c r="C634" i="14" s="1"/>
  <c r="H357" i="14"/>
  <c r="H418" i="14"/>
  <c r="H419" i="14"/>
  <c r="H354" i="14"/>
  <c r="H358" i="14"/>
  <c r="H422" i="14"/>
  <c r="H356" i="14"/>
  <c r="H355" i="14"/>
  <c r="H555" i="12"/>
  <c r="C822" i="14" s="1"/>
  <c r="B779" i="14"/>
  <c r="H548" i="12"/>
  <c r="C779" i="14" s="1"/>
  <c r="G503" i="12"/>
  <c r="B680" i="14" s="1"/>
  <c r="B679" i="14"/>
  <c r="H503" i="12"/>
  <c r="C680" i="14" s="1"/>
  <c r="C679" i="14"/>
  <c r="G496" i="12"/>
  <c r="B634" i="14" s="1"/>
  <c r="H514" i="12"/>
  <c r="C730" i="14" s="1"/>
  <c r="G514" i="12"/>
  <c r="B730" i="14" s="1"/>
  <c r="B729" i="14"/>
  <c r="O410" i="12"/>
  <c r="I417" i="14" s="1"/>
  <c r="O414" i="12"/>
  <c r="I421" i="14" s="1"/>
  <c r="N414" i="12"/>
  <c r="J414" i="12"/>
  <c r="E421" i="14" s="1"/>
  <c r="R413" i="12"/>
  <c r="K420" i="14" s="1"/>
  <c r="S413" i="12"/>
  <c r="L420" i="14" s="1"/>
  <c r="R412" i="12"/>
  <c r="K419" i="14" s="1"/>
  <c r="K414" i="12"/>
  <c r="F421" i="14" s="1"/>
  <c r="K413" i="12"/>
  <c r="F420" i="14" s="1"/>
  <c r="O413" i="12"/>
  <c r="I420" i="14" s="1"/>
  <c r="J413" i="12"/>
  <c r="E420" i="14" s="1"/>
  <c r="S412" i="12"/>
  <c r="L419" i="14" s="1"/>
  <c r="N413" i="12"/>
  <c r="N410" i="12"/>
  <c r="B417" i="14"/>
  <c r="O401" i="12"/>
  <c r="I355" i="14" s="1"/>
  <c r="S400" i="12"/>
  <c r="L354" i="14" s="1"/>
  <c r="S402" i="12"/>
  <c r="L356" i="14" s="1"/>
  <c r="O403" i="12"/>
  <c r="I357" i="14" s="1"/>
  <c r="S401" i="12"/>
  <c r="L355" i="14" s="1"/>
  <c r="O402" i="12"/>
  <c r="I356" i="14" s="1"/>
  <c r="F27" i="14"/>
  <c r="L47" i="14"/>
  <c r="H363" i="12"/>
  <c r="G363" i="12"/>
  <c r="A74" i="14"/>
  <c r="A72" i="14"/>
  <c r="A71" i="14"/>
  <c r="A70" i="14"/>
  <c r="H347" i="12"/>
  <c r="H354" i="12"/>
  <c r="G354" i="12"/>
  <c r="N362" i="12"/>
  <c r="H308" i="12"/>
  <c r="G308" i="12"/>
  <c r="H301" i="12"/>
  <c r="C23" i="15" l="1"/>
  <c r="H417" i="14"/>
  <c r="H421" i="14"/>
  <c r="H420" i="14"/>
  <c r="H366" i="12"/>
  <c r="G366" i="12"/>
  <c r="C72" i="14"/>
  <c r="C70" i="14"/>
  <c r="B110" i="14"/>
  <c r="A3" i="14" l="1"/>
  <c r="L366" i="12"/>
  <c r="K366" i="12"/>
  <c r="C74" i="14"/>
  <c r="B70" i="14"/>
  <c r="H357" i="12"/>
  <c r="C111" i="14" s="1"/>
  <c r="C110" i="14"/>
  <c r="C109" i="14"/>
  <c r="G357" i="12"/>
  <c r="B111" i="14" s="1"/>
  <c r="B109" i="14"/>
  <c r="A3" i="15" l="1"/>
  <c r="B12" i="15"/>
  <c r="B74" i="14"/>
  <c r="C36" i="14"/>
  <c r="C39" i="14" l="1"/>
  <c r="C40" i="14"/>
  <c r="C37" i="14"/>
  <c r="C38" i="14"/>
  <c r="C29" i="14"/>
  <c r="C30" i="14"/>
  <c r="C35" i="14" l="1"/>
  <c r="H315" i="12"/>
  <c r="H305" i="12"/>
  <c r="C31" i="14" s="1"/>
  <c r="C28" i="14"/>
  <c r="C41" i="14" l="1"/>
  <c r="B35" i="14" l="1"/>
  <c r="B28" i="14"/>
  <c r="B38" i="14"/>
  <c r="B40" i="14"/>
  <c r="B37" i="14"/>
  <c r="B39" i="14"/>
  <c r="B30" i="14"/>
  <c r="B29" i="14"/>
  <c r="B41" i="14" l="1"/>
  <c r="B36" i="14"/>
  <c r="G305" i="12"/>
  <c r="B31" i="14" s="1"/>
  <c r="E27" i="14" l="1"/>
  <c r="C1" i="12" l="1"/>
  <c r="A1" i="12"/>
  <c r="A4" i="5" l="1"/>
  <c r="A8" i="5" s="1"/>
  <c r="A9" i="5" s="1"/>
  <c r="A10" i="5" s="1"/>
  <c r="A12" i="5" s="1"/>
  <c r="A13" i="5" s="1"/>
  <c r="A15" i="5" s="1"/>
  <c r="A18" i="5" s="1"/>
  <c r="A27" i="5" l="1"/>
  <c r="B22" i="5"/>
  <c r="B25" i="5"/>
  <c r="B21" i="5"/>
  <c r="B20" i="5"/>
  <c r="B23" i="5"/>
  <c r="B19" i="5"/>
  <c r="B24" i="5"/>
  <c r="A28" i="5"/>
  <c r="A29" i="5" s="1"/>
  <c r="A13" i="15" l="1"/>
  <c r="B13" i="15"/>
  <c r="B22" i="15" s="1"/>
</calcChain>
</file>

<file path=xl/sharedStrings.xml><?xml version="1.0" encoding="utf-8"?>
<sst xmlns="http://schemas.openxmlformats.org/spreadsheetml/2006/main" count="1310" uniqueCount="1296">
  <si>
    <t>Suomi</t>
  </si>
  <si>
    <t>Svenska</t>
  </si>
  <si>
    <t xml:space="preserve">Valitse kieli  / Välj språket: </t>
  </si>
  <si>
    <t>Kielivalinta</t>
  </si>
  <si>
    <t>Yhteensä</t>
  </si>
  <si>
    <t>Oma henkilökunta</t>
  </si>
  <si>
    <t>Uusinnat</t>
  </si>
  <si>
    <t>Total lending (tämä on oma käännöksesi)</t>
  </si>
  <si>
    <t>Totalutlåningen (SYT)</t>
  </si>
  <si>
    <t>Kaukolainojen laskeminen: Annetut kotimaiset + annetut ulkomaiset + saadut ulkomaiset (SYT:n laskutavasta poiketen siis käytetään lainojen antamis-käsitettä sekä lähi- että kaukolainoissa - SYT käyttää kaukolainoissa saantia)</t>
  </si>
  <si>
    <t>Oma opiskelija</t>
  </si>
  <si>
    <t>Muu asiakas</t>
  </si>
  <si>
    <t>Oma henkilökunta (yo)</t>
  </si>
  <si>
    <t>Oma opiskelija (yo)</t>
  </si>
  <si>
    <t>C.1.2 Aktiiviset lainaajat</t>
  </si>
  <si>
    <t>Toisen asteen henkilökunta</t>
  </si>
  <si>
    <t>Ulkopuolisen yliopiston henkilökunta</t>
  </si>
  <si>
    <t>Toisen asteen opiskelija</t>
  </si>
  <si>
    <t>Ulkopuolisen yliopiston opiskelija</t>
  </si>
  <si>
    <t>Amk:n opiskelija tai henkilökunta</t>
  </si>
  <si>
    <t>Muun oppilaitoksen opiskelija tai henkilökunta</t>
  </si>
  <si>
    <t>Opiskelija tai muun organisaation tutkija</t>
  </si>
  <si>
    <t>Elinkeinoelämän edustaja</t>
  </si>
  <si>
    <t>Julkishallinnon edustaja</t>
  </si>
  <si>
    <t>Media</t>
  </si>
  <si>
    <t>Kotimainen kaukopalveluasiakas</t>
  </si>
  <si>
    <t>Ulkomainen kaukopalveluasiakas</t>
  </si>
  <si>
    <t>Muut</t>
  </si>
  <si>
    <t>Oma henkilökunta (amk)</t>
  </si>
  <si>
    <t>Oman organisaation henkilökunta</t>
  </si>
  <si>
    <t>Oma opiskelija (amk)</t>
  </si>
  <si>
    <t>Ulkopuolisen amk:n henkilökunta</t>
  </si>
  <si>
    <t>Ulkopuolisen amk:n opiskelija</t>
  </si>
  <si>
    <t>Yliopiston opiskelija tai henkilökunta</t>
  </si>
  <si>
    <t>Tarkistus</t>
  </si>
  <si>
    <t>KITT2030-asiakasluokittelu</t>
  </si>
  <si>
    <t>Muun korkeakoulun opiskelija tai henkilökunta</t>
  </si>
  <si>
    <t>Kaukopalveluasiakas</t>
  </si>
  <si>
    <t>Muut asiakkaat</t>
  </si>
  <si>
    <t>Oman korkeakoulun henkilökunta</t>
  </si>
  <si>
    <t>Oman korkeakoulun opiskelija</t>
  </si>
  <si>
    <t xml:space="preserve">Kokonaislainaus: Lainat (Itsepalvelulainat + lainat palvelutiskiltä) + Lukusalilainat + Annetut kaukolainat (kotim.) + Annetut kaukolainat (kansainväl.) + Saadut kaukolainat (kansainväl.) </t>
  </si>
  <si>
    <t>Kokonaislainaus</t>
  </si>
  <si>
    <t>Koko maa, 2018</t>
  </si>
  <si>
    <t xml:space="preserve">Kokonaislainaus </t>
  </si>
  <si>
    <t xml:space="preserve">Lainaus yhteensä </t>
  </si>
  <si>
    <t>SYT</t>
  </si>
  <si>
    <t>Erotus</t>
  </si>
  <si>
    <t>vastaanottavalle kirjastolle, koska se lainaa aineiston asiakkaalle. E-aineiston käyttökerrat</t>
  </si>
  <si>
    <t>tilastoidaan erikseen.</t>
  </si>
  <si>
    <t>Tämä luku tulee saaduista kaukolainoista</t>
  </si>
  <si>
    <t>Kokonaislainaus / SYT:</t>
  </si>
  <si>
    <t>SYT:n tavalla laskettuna, mutta mukana myös annetut ulkomaiset:</t>
  </si>
  <si>
    <t>Uusinnat itsepalveluna</t>
  </si>
  <si>
    <t>Uusinnat palveluna</t>
  </si>
  <si>
    <t>Uusinnat yht.</t>
  </si>
  <si>
    <t>Annetut</t>
  </si>
  <si>
    <t>Saadut</t>
  </si>
  <si>
    <t>Kaukolainaus</t>
  </si>
  <si>
    <t xml:space="preserve">A Kirjastot (UI:1) </t>
  </si>
  <si>
    <t xml:space="preserve">A.1 Kirjastotyypit ja yksiköt (UI:7, ROLE: 5) </t>
  </si>
  <si>
    <t xml:space="preserve">A.1.1 Perustiedot (UI:47) </t>
  </si>
  <si>
    <t xml:space="preserve">Hallinnolliset yksiköt (UI:156, STAT:4, ROLE: 2) </t>
  </si>
  <si>
    <t xml:space="preserve">Toimipisteet (UI:157, STAT:5, ROLE: 9) </t>
  </si>
  <si>
    <t xml:space="preserve">Pääkirjasto (UI:367, STAT:12, ROLE: 2) </t>
  </si>
  <si>
    <t xml:space="preserve">Muut toimipisteet (UI:368, STAT:13, ROLE: 2) </t>
  </si>
  <si>
    <t xml:space="preserve">A.1.2 Kehysorganisaation (UI:48) </t>
  </si>
  <si>
    <t xml:space="preserve">Henkilöstömäärä *** (UI:159, STAT:15, ROLE: 2) </t>
  </si>
  <si>
    <t xml:space="preserve">Opiskelijamäärä *** (UI:160, STAT:16, ROLE: 2) </t>
  </si>
  <si>
    <t xml:space="preserve">Avoimen yliopiston opiskelijamäärä (UI:161, STAT:17, ROLE: 2) </t>
  </si>
  <si>
    <t xml:space="preserve">Täydennyskoulutusopiskelijat (UI:162, STAT:18, ROLE: 2) </t>
  </si>
  <si>
    <t xml:space="preserve">Henkilöstön määrä (htv) (UI:163, STAT:19, ROLE: 2) </t>
  </si>
  <si>
    <t xml:space="preserve">Kokoaikaopiskelijoiden määrä (UI:164, STAT:20, ROLE: 2) </t>
  </si>
  <si>
    <t xml:space="preserve">Aloituspaikat *** (UI:165, STAT:21, ROLE: 2) </t>
  </si>
  <si>
    <t xml:space="preserve">Kokonaismenot x 1000 € *** (UI:166, STAT:22, ROLE: 2) </t>
  </si>
  <si>
    <t xml:space="preserve">Henkilöstömenot x 1000 € (UI:304, STAT:396, ROLE: 2) </t>
  </si>
  <si>
    <t xml:space="preserve">A.1.3 Kirjasto palvelee useampia yhteisöjä (X/-) (UI:143, STAT:397, ROLE: 4) </t>
  </si>
  <si>
    <t xml:space="preserve">B Kokoelmat (UI:2) </t>
  </si>
  <si>
    <t xml:space="preserve">B.1 Kokoelmat (säilytysyksikköjä tai nimekkeitä) (UI:604, ROLE: 5) </t>
  </si>
  <si>
    <t xml:space="preserve">B.1.1 Kirjat (UI:8) </t>
  </si>
  <si>
    <t xml:space="preserve">Painetut kirjat, sy *** (UI:167, STAT:31, ROLE: 2) </t>
  </si>
  <si>
    <t xml:space="preserve">Elektroniset kirjat (UI:518) </t>
  </si>
  <si>
    <t xml:space="preserve">Verkkokirjat, nimekettä *** (UI:386, STAT:135, ROLE: 2) </t>
  </si>
  <si>
    <t xml:space="preserve">Paikalliskäyttöiset, sy (- 2012) (UI:208, STAT:133, ROLE: 2) </t>
  </si>
  <si>
    <t xml:space="preserve">Paikalliskäyttöiset, sy (2013 -) (UI:664, STAT:1072, ROLE: 2) </t>
  </si>
  <si>
    <t xml:space="preserve">Elektroniset kirjat yhteensä (UI:521, STAT:1030, ROLE: 8) </t>
  </si>
  <si>
    <t xml:space="preserve">Äänikirjat, puheäänitteet (UI:524) </t>
  </si>
  <si>
    <t xml:space="preserve">Verkkokäyttöiset, nimekettä (UI:467, STAT:139, ROLE: 2) </t>
  </si>
  <si>
    <t xml:space="preserve">Paikalliskäyttöiset, sy (UI:376, STAT:87, ROLE: 2) </t>
  </si>
  <si>
    <t xml:space="preserve">Äänikirjat yhteensä (UI:527, STAT:1032, ROLE: 8) </t>
  </si>
  <si>
    <t xml:space="preserve">Mikromuotoiset kirjat (2013 -) (UI:523, STAT:1033, ROLE: 2) </t>
  </si>
  <si>
    <t xml:space="preserve">Kirjat yhteensä (UI:522, STAT:1031, ROLE: 8) </t>
  </si>
  <si>
    <t xml:space="preserve">Käsikirjoitukset (UI:528, STAT:51, ROLE: 2) </t>
  </si>
  <si>
    <t xml:space="preserve">Käsikirjoitukset, hyllymetriä (UI:631, STAT:50, ROLE: 2) </t>
  </si>
  <si>
    <t xml:space="preserve">B.1.2 Kausijulkaisut (UI:9) </t>
  </si>
  <si>
    <t xml:space="preserve">Painetut kausijulkaisut, sy *** (UI:171, STAT:40, ROLE: 2) </t>
  </si>
  <si>
    <t xml:space="preserve">Elektroniset kausijulkaisut (UI:539) </t>
  </si>
  <si>
    <t xml:space="preserve">Verkkolehdet, nimekettä (UI:608, STAT:171, ROLE: 2) </t>
  </si>
  <si>
    <t xml:space="preserve">Paikalliskäyttöiset, sy (2014 -) (UI:540, STAT:1037, ROLE: 2) </t>
  </si>
  <si>
    <t xml:space="preserve">Elektroniset kausijulkaisut yhteensä (UI:695, STAT:1036, ROLE: 8) </t>
  </si>
  <si>
    <t xml:space="preserve">Mikromuotoiset kausijulkaisut (2013 -) (UI:543, STAT:1039, ROLE: 2) </t>
  </si>
  <si>
    <t xml:space="preserve">Kausijulkaisut, kokoelmat yhteensä (UI:544, STAT:1038, ROLE: 8) </t>
  </si>
  <si>
    <t xml:space="preserve">B.1.3 Kartat (UI:12) </t>
  </si>
  <si>
    <t xml:space="preserve">Painetut kartat, sy *** (UI:184, STAT:68, ROLE: 2) </t>
  </si>
  <si>
    <t xml:space="preserve">Elektroniset kartat (2014 -) (UI:552) </t>
  </si>
  <si>
    <t xml:space="preserve">Paikalliskäyttöiset (2014 -) (UI:553, STAT:1044, ROLE: 2) </t>
  </si>
  <si>
    <t xml:space="preserve">Verkkokäyttöiset, nimekettä (2014 -) (UI:554, STAT:1045, ROLE: 2) </t>
  </si>
  <si>
    <t xml:space="preserve">Elektroniset kartat yhteensä (UI:555, STAT:1046, ROLE: 8) </t>
  </si>
  <si>
    <t xml:space="preserve">Mikromuotoiset kartat (2013 -) (UI:556, STAT:1047, ROLE: 2) </t>
  </si>
  <si>
    <t xml:space="preserve">Kartat yhteensä (UI:558, STAT:1049, ROLE: 8) </t>
  </si>
  <si>
    <t xml:space="preserve">Karttakäsikirjoitukset (2014 -) *** (UI:557, STAT:1048, ROLE: 2) </t>
  </si>
  <si>
    <t xml:space="preserve">B.1.4 Musiikkiaineistot (UI:13) </t>
  </si>
  <si>
    <t xml:space="preserve">Painetut nuotit ja partituurit, sy *** (UI:187, STAT:76, ROLE: 2) </t>
  </si>
  <si>
    <t xml:space="preserve">Musiikkiäänitteet, sy (UI:559, STAT:86, ROLE: 2) </t>
  </si>
  <si>
    <t xml:space="preserve">Musiikkiäänitteet (verkossa) (UI:466, STAT:138, ROLE: 2) </t>
  </si>
  <si>
    <t xml:space="preserve">Musiikkiaineistot yhteensä (UI:629, STAT:1086, ROLE: 8) </t>
  </si>
  <si>
    <t xml:space="preserve">Musiikkikäsikirjoitukset *** (UI:618, STAT:1083, ROLE: 2) </t>
  </si>
  <si>
    <t xml:space="preserve">B.1.5 Audiovisuaaliset aineistot (UI:14) </t>
  </si>
  <si>
    <t xml:space="preserve">Fyysiset aineistot (UI:621) </t>
  </si>
  <si>
    <t xml:space="preserve">Graafinen aineisto, sy (UI:193, STAT:100, ROLE: 2) </t>
  </si>
  <si>
    <t xml:space="preserve">Elektroniset aineistot (UI:622) </t>
  </si>
  <si>
    <t xml:space="preserve">Verkkoaineistot (UI:623) </t>
  </si>
  <si>
    <t xml:space="preserve">musiikkiäänitteet (UI:627, STAT:138, ROLE: 2) </t>
  </si>
  <si>
    <t xml:space="preserve">äänikirjat (UI:628, STAT:139, ROLE: 2) </t>
  </si>
  <si>
    <t xml:space="preserve">visuaaliset (UI:468, STAT:140, ROLE: 2) </t>
  </si>
  <si>
    <t xml:space="preserve">muut audiovisuaaliset verkkoaineistot (UI:469, STAT:141, ROLE: 2) </t>
  </si>
  <si>
    <t xml:space="preserve">Audiovisuaalinen verkkoaineisto yht. *** (UI:388, STAT:137, ROLE: 8) </t>
  </si>
  <si>
    <t xml:space="preserve">Paikalliskäyttöiset (UI:624) </t>
  </si>
  <si>
    <t xml:space="preserve">Musiikkiäänitteet, sy (UI:375, STAT:86, ROLE: 2) </t>
  </si>
  <si>
    <t xml:space="preserve">Äänikirjat, puheäänitteet (UI:626, STAT:87, ROLE: 2) </t>
  </si>
  <si>
    <t xml:space="preserve">visuaaliset, sy (UI:377, STAT:88, ROLE: 2) </t>
  </si>
  <si>
    <t xml:space="preserve">audiovisuaaliset, sy (UI:378, STAT:89, ROLE: 2) </t>
  </si>
  <si>
    <t xml:space="preserve">erittelemättömät, sy (UI:439, STAT:452, ROLE: 2) </t>
  </si>
  <si>
    <t xml:space="preserve">Paikalliskäyttöiset yht, sy (UI:191, STAT:85, ROLE: 8) </t>
  </si>
  <si>
    <t xml:space="preserve">Elektroniset av-aineistot yhteensä (UI:665, STAT:1100, ROLE: 8) </t>
  </si>
  <si>
    <t xml:space="preserve">Audiovisuaaliset aineistot yhteensä (UI:666, STAT:1101, ROLE: 8) </t>
  </si>
  <si>
    <t xml:space="preserve">B.1.6 Patenttijulkaisut (UI:16) </t>
  </si>
  <si>
    <t xml:space="preserve">Painetut (UI:73) </t>
  </si>
  <si>
    <t xml:space="preserve">säilytysyksikköjä *** (UI:196, STAT:108, ROLE: 2) </t>
  </si>
  <si>
    <t xml:space="preserve">Elektroniset (UI:616) </t>
  </si>
  <si>
    <t xml:space="preserve">verkkokäyttöiset patenttijulkaisut (UI:387, STAT:136, ROLE: 2) </t>
  </si>
  <si>
    <t xml:space="preserve">paikalliskäyttöiset (UI:615, STAT:1081, ROLE: 2) </t>
  </si>
  <si>
    <t xml:space="preserve">Elektroniset patenttijulkaisut yhteensä (UI:620, STAT:1085, ROLE: 8) </t>
  </si>
  <si>
    <t xml:space="preserve">Mikromuotoiset (UI:617, STAT:1082, ROLE: 2) </t>
  </si>
  <si>
    <t xml:space="preserve">Patenttijulkaisut yhteensä (UI:619, STAT:1084, ROLE: 8) </t>
  </si>
  <si>
    <t xml:space="preserve">B.1.7 Arkistoaineisto (UI:17) </t>
  </si>
  <si>
    <t xml:space="preserve">fyysiset arkistot (UI:76) </t>
  </si>
  <si>
    <t xml:space="preserve">arkistonmuodostajat (UI:199, STAT:115, ROLE: 3) </t>
  </si>
  <si>
    <t xml:space="preserve">paperimuotoiset, sy (UI:297, STAT:388, ROLE: 3) </t>
  </si>
  <si>
    <t xml:space="preserve">hyllymetrit (UI:200, STAT:116, ROLE: 3) </t>
  </si>
  <si>
    <t xml:space="preserve">elektroniset arkistot (UI:142) </t>
  </si>
  <si>
    <t xml:space="preserve">arkistonmuodostajat (UI:341, STAT:472, ROLE: 2) </t>
  </si>
  <si>
    <t xml:space="preserve">aineiston koko, Gt (UI:303, STAT:395, ROLE: 3) </t>
  </si>
  <si>
    <t xml:space="preserve">Arkistonmuodostajat yhteensä (UI:630, STAT:1087, ROLE: 8) </t>
  </si>
  <si>
    <t xml:space="preserve">B.1.8 Muut aineistot (UI:18) </t>
  </si>
  <si>
    <t xml:space="preserve">Fyysiset aineistot (UI:85) </t>
  </si>
  <si>
    <t xml:space="preserve">Painetut, sy *** (UI:300, STAT:391, ROLE: 2) </t>
  </si>
  <si>
    <t xml:space="preserve">Esineet (UI:614, STAT:1080, ROLE: 2) </t>
  </si>
  <si>
    <t xml:space="preserve">hyllymetrit (UI:205, STAT:125, ROLE: 2) </t>
  </si>
  <si>
    <t xml:space="preserve">Elektroniset aineistot (UI:612) </t>
  </si>
  <si>
    <t xml:space="preserve">Tietokannat (UI:20) </t>
  </si>
  <si>
    <t xml:space="preserve">verkossa/työasemilla olevat tietokannat (nimekkeet) *** (UI:392, STAT:154, ROLE: 2) </t>
  </si>
  <si>
    <t xml:space="preserve">paikalliskäyttöiset, sy (UI:391, STAT:153, ROLE: 2) </t>
  </si>
  <si>
    <t xml:space="preserve">tietokannat yht. (UI:214, STAT:152, ROLE: 8) </t>
  </si>
  <si>
    <t xml:space="preserve">Tietokoneohjelmat (UI:610, STAT:1113, ROLE: 2) </t>
  </si>
  <si>
    <t xml:space="preserve">Numeerinen data (UI:611, STAT:1114, ROLE: 2) </t>
  </si>
  <si>
    <t xml:space="preserve">Muut elektroniset aineistot (verkkoaineisto) *** (UI:389, STAT:142, ROLE: 2) </t>
  </si>
  <si>
    <t xml:space="preserve">Erittelemätön (UI:613, STAT:1098, ROLE: 2) </t>
  </si>
  <si>
    <t xml:space="preserve">B.1.10 Erittelemätön aineisto (UI:640) </t>
  </si>
  <si>
    <t xml:space="preserve">säilytysyksikköjä (UI:181, STAT:60, ROLE: 2) </t>
  </si>
  <si>
    <t xml:space="preserve">B.2 Kokoelmat, nimekettä (UI:605, ROLE: 5) </t>
  </si>
  <si>
    <t xml:space="preserve">B.2.1 Kirjat (UI:606) </t>
  </si>
  <si>
    <t xml:space="preserve">Painetut kirjat, nimekettä (UI:168, STAT:32, ROLE: 2) </t>
  </si>
  <si>
    <t xml:space="preserve">Elektroniset kirjat, nimekkeet (UI:530) </t>
  </si>
  <si>
    <t xml:space="preserve">Paikalliskäyttöiset, nimekettä (2013 -) (UI:586, STAT:1073, ROLE: 2) </t>
  </si>
  <si>
    <t xml:space="preserve">Verkkokirjat, nimekettä (UI:587, STAT:135, ROLE: 2) </t>
  </si>
  <si>
    <t xml:space="preserve">Elektroniset kirjat yhteensä, nimekettä (UI:588, STAT:1074, ROLE: 8) </t>
  </si>
  <si>
    <t xml:space="preserve">Mikromuotoiset, nimekkeet (2013 -) (UI:531, STAT:1034, ROLE: 2) </t>
  </si>
  <si>
    <t xml:space="preserve">Äänikirjat, puheäänitteet, nimekkeet (UI:532) </t>
  </si>
  <si>
    <t xml:space="preserve">Äänikirjat, paikalliskäyttöiset, nimekkeet (UI:533, STAT:1099, ROLE: 2) </t>
  </si>
  <si>
    <t xml:space="preserve">Äänikirjat, verkkokäyttöiset, nimekkeet (UI:534, STAT:139, ROLE: 2) </t>
  </si>
  <si>
    <t xml:space="preserve">Äänikirjat, puheäänitteet, nimekkeet yhteensä (UI:535, STAT:1115, ROLE: 8) </t>
  </si>
  <si>
    <t xml:space="preserve">kirjat, nimekkeet yhteensä (UI:537, STAT:1035, ROLE: 8) </t>
  </si>
  <si>
    <t xml:space="preserve">Käsikirjoitukset, nimekkeet (UI:536, STAT:51, ROLE: 2) </t>
  </si>
  <si>
    <t xml:space="preserve">B.2.2 Kausijulkaisut (UI:607) </t>
  </si>
  <si>
    <t xml:space="preserve">Painetut nimekettä (UI:172, STAT:41, ROLE: 2) </t>
  </si>
  <si>
    <t xml:space="preserve">Elektroniset kausijulkaisut nimekkeet (UI:545) </t>
  </si>
  <si>
    <t xml:space="preserve">Paikalliskäyttöiset, nimekkeet (2014 -) (UI:546, STAT:1040, ROLE: 2) </t>
  </si>
  <si>
    <t xml:space="preserve">Verkkolehdet, nimekettä *** (UI:547, STAT:171, ROLE: 2) </t>
  </si>
  <si>
    <t xml:space="preserve">Elektroniset kausijulkaisunimekkeet yhteensä (UI:548, STAT:1041, ROLE: 8) </t>
  </si>
  <si>
    <t xml:space="preserve">Mikromuotoiset kausijulkaisut, nimekkeet (2013 -) (UI:549, STAT:1042, ROLE: 2) </t>
  </si>
  <si>
    <t xml:space="preserve">Kausijulkaisut, nimekkeet yhteensä (UI:550, STAT:1043, ROLE: 8) </t>
  </si>
  <si>
    <t xml:space="preserve">B.2.3 Kartat (UI:646) </t>
  </si>
  <si>
    <t xml:space="preserve">Painetut kartat, nimekettä (UI:652, STAT:1112, ROLE: 2) </t>
  </si>
  <si>
    <t xml:space="preserve">B.2.4 Musiikkiaineistot (UI:647) </t>
  </si>
  <si>
    <t xml:space="preserve">painetut, nimekkeet (UI:188, STAT:77, ROLE: 2) </t>
  </si>
  <si>
    <t xml:space="preserve">B.2.5 Audiovisuaaliset aineistot, verkossa nimekettä (UI:648) </t>
  </si>
  <si>
    <t xml:space="preserve">Musiikkiäänitteet (UI:653, STAT:138, ROLE: 2) </t>
  </si>
  <si>
    <t xml:space="preserve">Äänikirjat, nimekettä (UI:654, STAT:139, ROLE: 2) </t>
  </si>
  <si>
    <t xml:space="preserve">Visuaaliset, nimekettä (UI:655, STAT:140, ROLE: 2) </t>
  </si>
  <si>
    <t xml:space="preserve">Muut audiovisuaaliset, nimekettä (UI:656, STAT:141, ROLE: 2) </t>
  </si>
  <si>
    <t xml:space="preserve">Audiovisuaaliset verkkoaineistot yhteensä, nimekettä (UI:657, STAT:137, ROLE: 8) </t>
  </si>
  <si>
    <t xml:space="preserve">B.2.6 Patenttijulkaisut (UI:649) </t>
  </si>
  <si>
    <t xml:space="preserve">Elektroniset patenttijulkaisut verkossa, nimekettä (UI:658, STAT:136, ROLE: 2) </t>
  </si>
  <si>
    <t xml:space="preserve">Paikalliskäyttöiset, nimekettä (UI:659, STAT:1081, ROLE: 2) </t>
  </si>
  <si>
    <t xml:space="preserve">Elektroniset patenttijulkaisut yhteensä, nimekettä (UI:660, STAT:1085, ROLE: 8) </t>
  </si>
  <si>
    <t xml:space="preserve">B.2.7 Arkistoaineisto (Ei nimekelaskentaa) (UI:650) </t>
  </si>
  <si>
    <t xml:space="preserve">B.2.8 Muu aineisto (UI:651) </t>
  </si>
  <si>
    <t xml:space="preserve">Tietokannat, nimekettä (verkossa/työasemilla) (UI:661, STAT:154, ROLE: 2) </t>
  </si>
  <si>
    <t xml:space="preserve">Muut elektroniset aineistot verkossa, nimekettä (UI:662, STAT:142, ROLE: 2) </t>
  </si>
  <si>
    <t xml:space="preserve">B.3 Saapuvat kausijulkaisut (UI:21, ROLE: 5) </t>
  </si>
  <si>
    <t xml:space="preserve">B.3.1 Painetut ja mikromuotoiset kausijulkaisut (UI:88) </t>
  </si>
  <si>
    <t xml:space="preserve">kausijulkaisutilausten määrä (UI:217, STAT:165, ROLE: 2) </t>
  </si>
  <si>
    <t xml:space="preserve">kausijulkaisunimekkeiden määrä *** (UI:218, STAT:166, ROLE: 2) </t>
  </si>
  <si>
    <t xml:space="preserve">joista ostettuja (UI:397, STAT:167, ROLE: 2) </t>
  </si>
  <si>
    <t xml:space="preserve">sanomalehtitilausten määrä (UI:219, STAT:168, ROLE: 2) </t>
  </si>
  <si>
    <t xml:space="preserve">- sanomalehtinimekkeiden määrä (UI:220, STAT:169, ROLE: 2) </t>
  </si>
  <si>
    <t xml:space="preserve">B.3.2 Elektroniset (UI:89) </t>
  </si>
  <si>
    <t xml:space="preserve">Verkkolehdet, nimekettä *** (UI:221, STAT:171, ROLE: 2) </t>
  </si>
  <si>
    <t xml:space="preserve">B.3.3 Kausijulkaisut yhteensä (UI:90) </t>
  </si>
  <si>
    <t xml:space="preserve">kausijulkaisutilaukset (UI:222, STAT:173, ROLE: 2) </t>
  </si>
  <si>
    <t xml:space="preserve">kausijulkaisunimekkeet (UI:223, STAT:174, ROLE: 8) </t>
  </si>
  <si>
    <t xml:space="preserve">B.4 Luettelointi (UI:22, ROLE: 5) </t>
  </si>
  <si>
    <t xml:space="preserve">B.4.1 Luettelotietueiden määrä (UI:91, STAT:176, ROLE: 2) </t>
  </si>
  <si>
    <t xml:space="preserve">B.4.2 Lisätyt tietueet yhteensä (UI:92, STAT:177, ROLE: 8) </t>
  </si>
  <si>
    <t xml:space="preserve">Poimintaluettelointi (UI:224, STAT:178, ROLE: 2) </t>
  </si>
  <si>
    <t xml:space="preserve">Ensiluettelointi (UI:398, STAT:180, ROLE: 2) </t>
  </si>
  <si>
    <t xml:space="preserve">Konvertointiluettelointi (UI:399, STAT:181, ROLE: 2) </t>
  </si>
  <si>
    <t xml:space="preserve">Erittelemättömät (UI:441, STAT:455, ROLE: 2) </t>
  </si>
  <si>
    <t xml:space="preserve">Alkuperäisluettelointi (UI:225, STAT:179, ROLE: 2) </t>
  </si>
  <si>
    <t xml:space="preserve">Ensiluettelointi (UI:442, STAT:456, ROLE: 2) </t>
  </si>
  <si>
    <t xml:space="preserve">Konvertointiluettelointi (UI:443, STAT:457, ROLE: 2) </t>
  </si>
  <si>
    <t xml:space="preserve">Erittelemättömät (UI:444, STAT:458, ROLE: 2) </t>
  </si>
  <si>
    <t xml:space="preserve">Erittelemättömät (UI:339, STAT:454, ROLE: 2) </t>
  </si>
  <si>
    <t xml:space="preserve">B.4.3 Luettelointi muihin tietokantoihin (UI:93) </t>
  </si>
  <si>
    <t xml:space="preserve">tietokantojen määrä (UI:226, STAT:183, ROLE: 2) </t>
  </si>
  <si>
    <t xml:space="preserve">tietueiden määrä (UI:227, STAT:184, ROLE: 2) </t>
  </si>
  <si>
    <t xml:space="preserve">B.5 Kokoelmien kartunta (UI:563, ROLE: 5) </t>
  </si>
  <si>
    <t xml:space="preserve">B.5.1 Nidekartunta (UI:590) </t>
  </si>
  <si>
    <t xml:space="preserve">Kirjojen kartunta (UI:565) </t>
  </si>
  <si>
    <t xml:space="preserve">Painettujen kirjojen kartunta (UI:50) </t>
  </si>
  <si>
    <t xml:space="preserve">Säilytysyksikköjä (UI:169, STAT:34, ROLE: 2) </t>
  </si>
  <si>
    <t xml:space="preserve">joista ostettuja *** (UI:369, STAT:35, ROLE: 2) </t>
  </si>
  <si>
    <t xml:space="preserve">Elektronisten kirjojen kartunta (UI:643) </t>
  </si>
  <si>
    <t xml:space="preserve">Säilytysyksikköjä (UI:644, STAT:1096, ROLE: 2) </t>
  </si>
  <si>
    <t xml:space="preserve">joista ostettuja (UI:645, STAT:1097, ROLE: 2) </t>
  </si>
  <si>
    <t xml:space="preserve">Mikromuotoisten kirjojen kartunta (2013 -) (UI:569, STAT:1051, ROLE: 2) </t>
  </si>
  <si>
    <t xml:space="preserve">joista ostettuja (UI:584, STAT:1068, ROLE: 2) </t>
  </si>
  <si>
    <t xml:space="preserve">Äänikirjojen ja puheäänitteiden kartunta (UI:570) </t>
  </si>
  <si>
    <t xml:space="preserve">Paikalliskäyttöiset (UI:380, STAT:93, ROLE: 2) </t>
  </si>
  <si>
    <t xml:space="preserve">Käsikirjoitusten kartunta (UI:56) </t>
  </si>
  <si>
    <t xml:space="preserve">säilytysyksikköjä *** (UI:179, STAT:54, ROLE: 2) </t>
  </si>
  <si>
    <t xml:space="preserve">joista ostettuja (UI:371, STAT:55, ROLE: 2) </t>
  </si>
  <si>
    <t xml:space="preserve">hyllymetrit (UI:178, STAT:53, ROLE: 2) </t>
  </si>
  <si>
    <t xml:space="preserve">Kausijulkaisujen kartunta (UI:53) </t>
  </si>
  <si>
    <t xml:space="preserve">Painetut, sy *** (UI:173, STAT:43, ROLE: 2) </t>
  </si>
  <si>
    <t xml:space="preserve">joista ostettuja (UI:370, STAT:44, ROLE: 2) </t>
  </si>
  <si>
    <t xml:space="preserve">Mikromuotoiset, sy (2013 -) (UI:576, STAT:1052, ROLE: 2) </t>
  </si>
  <si>
    <t xml:space="preserve">joista ostettuja (UI:585, STAT:1071, ROLE: 2) </t>
  </si>
  <si>
    <t xml:space="preserve">Karttojen kartunta (UI:62) </t>
  </si>
  <si>
    <t xml:space="preserve">Säilytysyksikköjä *** (UI:185, STAT:70, ROLE: 2) </t>
  </si>
  <si>
    <t xml:space="preserve">joista ostettuja (UI:373, STAT:71, ROLE: 2) </t>
  </si>
  <si>
    <t xml:space="preserve">Mikromuotoiset, sy (2013 -) (UI:582, STAT:1069, ROLE: 2) </t>
  </si>
  <si>
    <t xml:space="preserve">joista ostettuja (UI:583, STAT:1070, ROLE: 2) </t>
  </si>
  <si>
    <t xml:space="preserve">Musiikkiaineistojen kartunta (UI:65) </t>
  </si>
  <si>
    <t xml:space="preserve">Painetut (nuotit ja partituurit), sy *** (UI:189, STAT:79, ROLE: 2) </t>
  </si>
  <si>
    <t xml:space="preserve">joista ostettuja (UI:374, STAT:80, ROLE: 2) </t>
  </si>
  <si>
    <t xml:space="preserve">Musiikkiäänitteet (UI:379, STAT:92, ROLE: 2) </t>
  </si>
  <si>
    <t xml:space="preserve">Visuaalisten aineistojen kartunta (UI:68) </t>
  </si>
  <si>
    <t xml:space="preserve">Säilytysyksikköjä (UI:192, STAT:91, ROLE: 8) </t>
  </si>
  <si>
    <t xml:space="preserve">Visuaaliset (UI:381, STAT:94, ROLE: 2) </t>
  </si>
  <si>
    <t xml:space="preserve">Audiovisuaaliset (UI:382, STAT:95, ROLE: 2) </t>
  </si>
  <si>
    <t xml:space="preserve">Erittelemättömät (UI:440, STAT:453, ROLE: 2) </t>
  </si>
  <si>
    <t xml:space="preserve">ostettuja, sy (2013 -) (UI:577, STAT:1050, ROLE: 2) </t>
  </si>
  <si>
    <t xml:space="preserve">ostettuja, sy (ml. äänikirjat ja puheäänitteet) (UI:383, STAT:96, ROLE: 2) </t>
  </si>
  <si>
    <t xml:space="preserve">Graafisten aineistojen kartunta (UI:71) </t>
  </si>
  <si>
    <t xml:space="preserve">Säilytysyksikköjä *** (UI:194, STAT:102, ROLE: 2) </t>
  </si>
  <si>
    <t xml:space="preserve">joista ostettuja (UI:384, STAT:103, ROLE: 2) </t>
  </si>
  <si>
    <t xml:space="preserve">Patenttijulkaisujen kartunta (UI:74) </t>
  </si>
  <si>
    <t xml:space="preserve">Painetut, sy *** (UI:197, STAT:110, ROLE: 2) </t>
  </si>
  <si>
    <t xml:space="preserve">Arkistoaineistojen kartunta (UI:77) </t>
  </si>
  <si>
    <t xml:space="preserve">Painetut (UI:579) </t>
  </si>
  <si>
    <t xml:space="preserve">Säilytysyksikköjä (UI:298, STAT:389, ROLE: 3) </t>
  </si>
  <si>
    <t xml:space="preserve">Hyllymetrit (UI:202, STAT:119, ROLE: 3) </t>
  </si>
  <si>
    <t xml:space="preserve">Muun aineiston kartunta (UI:80) </t>
  </si>
  <si>
    <t xml:space="preserve">Säilytysyksikköjä (UI:301, STAT:392, ROLE: 2) </t>
  </si>
  <si>
    <t xml:space="preserve">joista ostettuja (UI:385, STAT:128, ROLE: 2) </t>
  </si>
  <si>
    <t xml:space="preserve">Hyllymetrit (UI:206, STAT:127, ROLE: 2) </t>
  </si>
  <si>
    <t xml:space="preserve">säilytysyksikköjä (UI:182, STAT:62, ROLE: 2) </t>
  </si>
  <si>
    <t xml:space="preserve">joista ostettuja (UI:372, STAT:63, ROLE: 2) </t>
  </si>
  <si>
    <t xml:space="preserve">B.5.2 Nimekekartunta (UI:591) </t>
  </si>
  <si>
    <t xml:space="preserve">Kirjojen kartunta (UI:592) </t>
  </si>
  <si>
    <t xml:space="preserve">Painettujen kirjojen kartunta, nimekettä (UI:663, STAT:1111, ROLE: 2) </t>
  </si>
  <si>
    <t xml:space="preserve">Elektronisten kirjojen kartunta (2014 -) (UI:566) </t>
  </si>
  <si>
    <t xml:space="preserve">Paikalliskäyttöiset (UI:567, STAT:1103, ROLE: 2) </t>
  </si>
  <si>
    <t xml:space="preserve">Verkkokirjat (UI:568, STAT:1104, ROLE: 2) </t>
  </si>
  <si>
    <t xml:space="preserve">Mikromuotoisten kirjojen kartunta (2013 -) (UI:594, STAT:1076, ROLE: 2) </t>
  </si>
  <si>
    <t xml:space="preserve">Äänikirjojen ja puheäänitteiden kartunta (UI:680) </t>
  </si>
  <si>
    <t xml:space="preserve">Verkkokäyttöiset äänikirjat ja puheäänitteet (2014 -) (UI:571, STAT:1105, ROLE: 2) </t>
  </si>
  <si>
    <t xml:space="preserve">Kausijulkaisujen kartunta (UI:593) </t>
  </si>
  <si>
    <t xml:space="preserve">Painetut, nimekettä (UI:174, STAT:45, ROLE: 2) </t>
  </si>
  <si>
    <t xml:space="preserve">Elektroniset, nimekettä (2014 -) (UI:572) </t>
  </si>
  <si>
    <t xml:space="preserve">Paikalliskäyttöiset (UI:573, STAT:1106, ROLE: 2) </t>
  </si>
  <si>
    <t xml:space="preserve">Verkkolehdet (UI:574, STAT:1107, ROLE: 2) </t>
  </si>
  <si>
    <t xml:space="preserve">Yhteensä (UI:575, STAT:1108, ROLE: 8) </t>
  </si>
  <si>
    <t xml:space="preserve">Mikromuotoiset, nimekettä (2013 -) (UI:589, STAT:1075, ROLE: 2) </t>
  </si>
  <si>
    <t xml:space="preserve">Karttojen kartunta (UI:595) </t>
  </si>
  <si>
    <t xml:space="preserve">Painetut kartat (2013 -) (UI:597, STAT:1078, ROLE: 2) </t>
  </si>
  <si>
    <t xml:space="preserve">Mikromuotoiset kartat (2013 -) (UI:596, STAT:1077, ROLE: 2) </t>
  </si>
  <si>
    <t xml:space="preserve">Paikalliskäyttöiset elektroniset kartat (UI:678, STAT:1110, ROLE: 2) </t>
  </si>
  <si>
    <t xml:space="preserve">Patenttijulkaisujen kartunta (UI:679) </t>
  </si>
  <si>
    <t xml:space="preserve">Elektroniset (2014 -) (UI:578, STAT:1109, ROLE: 2) </t>
  </si>
  <si>
    <t xml:space="preserve">Arkistoaineistojen kartunta (UI:681) </t>
  </si>
  <si>
    <t xml:space="preserve">Arkistonmuodostajat (UI:201, STAT:118, ROLE: 3) </t>
  </si>
  <si>
    <t xml:space="preserve">Elektroniset (Gt) (2013 -) (UI:580, STAT:1079, ROLE: 2) </t>
  </si>
  <si>
    <t xml:space="preserve">Tietokantojen kartunta (UI:86) </t>
  </si>
  <si>
    <t xml:space="preserve">Tietokantojen määrä (UI:215, STAT:156, ROLE: 2) </t>
  </si>
  <si>
    <t xml:space="preserve">Digitaaliset tallenteet, sy (UI:393, STAT:157, ROLE: 2) </t>
  </si>
  <si>
    <t xml:space="preserve">Verkossa/työasemilla olevat tietokannat, nimekkeet (UI:394, STAT:158, ROLE: 2) </t>
  </si>
  <si>
    <t xml:space="preserve">Muun elektronisen aineiston kartunta (UI:83) </t>
  </si>
  <si>
    <t xml:space="preserve">Digitaaliset tallenteet, sy (UI:210, STAT:144, ROLE: 2) </t>
  </si>
  <si>
    <t xml:space="preserve">Verkkodokumentit (nimekkeet) (UI:211, STAT:145, ROLE: 2) </t>
  </si>
  <si>
    <t xml:space="preserve">joista ostettuja (UI:390, STAT:146, ROLE: 2) </t>
  </si>
  <si>
    <t xml:space="preserve">C Kirjaston käyttö ja käyttäjät (UI:3) </t>
  </si>
  <si>
    <t xml:space="preserve">C.1 Käyttäjät (UI:23, ROLE: 5) </t>
  </si>
  <si>
    <t xml:space="preserve">C.1.1 Uudet asiakkaat (UI:94, STAT:187, ROLE: 8) </t>
  </si>
  <si>
    <t xml:space="preserve">Oma henkilökunta (yo) (UI:306, STAT:419, ROLE: 2) </t>
  </si>
  <si>
    <t xml:space="preserve">Toisen asteen henkilökunta (UI:669, STAT:1065, ROLE: 2) </t>
  </si>
  <si>
    <t xml:space="preserve">Ulkopuolisen yliopiston henkilökunta (UI:310, STAT:423, ROLE: 2) </t>
  </si>
  <si>
    <t xml:space="preserve">Oma opiskelija (yo) (UI:305, STAT:418, ROLE: 2) </t>
  </si>
  <si>
    <t xml:space="preserve">Toisen asteen opiskelija (UI:671, STAT:1064, ROLE: 2) </t>
  </si>
  <si>
    <t xml:space="preserve">Ulkopuolisen yliopiston opiskelija (UI:308, STAT:421, ROLE: 2) </t>
  </si>
  <si>
    <t xml:space="preserve">Amk:n opiskelija tai henkilökunta (UI:312, STAT:425, ROLE: 2) </t>
  </si>
  <si>
    <t xml:space="preserve">Muun oppilaitoksen opiskelija tai henkilökunta (UI:314, STAT:427, ROLE: 2) </t>
  </si>
  <si>
    <t xml:space="preserve">Opiskelija tai muun organisaation tutkija (UI:316, STAT:429, ROLE: 2) </t>
  </si>
  <si>
    <t xml:space="preserve">Elinkeinoelämän edustaja (UI:317, STAT:430, ROLE: 2) </t>
  </si>
  <si>
    <t xml:space="preserve">Julkishallinnon edustaja (UI:315, STAT:428, ROLE: 2) </t>
  </si>
  <si>
    <t xml:space="preserve">Media (UI:668, STAT:1063, ROLE: 2) </t>
  </si>
  <si>
    <t xml:space="preserve">Kotimainen kaukopalveluasiakas (UI:318, STAT:431, ROLE: 2) </t>
  </si>
  <si>
    <t xml:space="preserve">Ulkomainen kaukopalveluasiakas (UI:319, STAT:432, ROLE: 2) </t>
  </si>
  <si>
    <t xml:space="preserve">Muut (UI:320, STAT:433, ROLE: 2) </t>
  </si>
  <si>
    <t xml:space="preserve">C.1.2 Aktiiviset lainaajat *** (UI:95, STAT:188, ROLE: 8) </t>
  </si>
  <si>
    <t xml:space="preserve">Oma henkilökunta (yo) *** (UI:322, STAT:435, ROLE: 2) </t>
  </si>
  <si>
    <t xml:space="preserve">Toisen asteen henkilökunta (UI:672, STAT:1060, ROLE: 2) </t>
  </si>
  <si>
    <t xml:space="preserve">Ulkopuolisen yliopiston henkilökunta (UI:326, STAT:439, ROLE: 2) </t>
  </si>
  <si>
    <t xml:space="preserve">Oma opiskelija (yo) *** (UI:321, STAT:434, ROLE: 2) </t>
  </si>
  <si>
    <t xml:space="preserve">Toisen asteen opiskelija (UI:673, STAT:1059, ROLE: 2) </t>
  </si>
  <si>
    <t xml:space="preserve">Ulkopuolisen yliopiston opiskelija (UI:324, STAT:437, ROLE: 2) </t>
  </si>
  <si>
    <t xml:space="preserve">Amk:n opiskelija tai henkilökunta (UI:328, STAT:441, ROLE: 2) </t>
  </si>
  <si>
    <t xml:space="preserve">Muun oppilaitoksen opiskelija tai henkilökunta (UI:330, STAT:443, ROLE: 2) </t>
  </si>
  <si>
    <t xml:space="preserve">Opiskelija tai muun organisaation tutkija (UI:332, STAT:445, ROLE: 2) </t>
  </si>
  <si>
    <t xml:space="preserve">Elinkeinoelämän edustaja (UI:333, STAT:446, ROLE: 2) </t>
  </si>
  <si>
    <t xml:space="preserve">Julkishallinnon edustaja (UI:331, STAT:444, ROLE: 2) </t>
  </si>
  <si>
    <t xml:space="preserve">Media (UI:674, STAT:1058, ROLE: 2) </t>
  </si>
  <si>
    <t xml:space="preserve">Kotimainen kaukopalveluasiakas (UI:334, STAT:447, ROLE: 2) </t>
  </si>
  <si>
    <t xml:space="preserve">Ulkomainen kaukopalveluasiakas (UI:335, STAT:448, ROLE: 2) </t>
  </si>
  <si>
    <t xml:space="preserve">Muut (UI:336, STAT:449, ROLE: 2) </t>
  </si>
  <si>
    <t xml:space="preserve">C.1.3 Rekisteröidyt lainaajat (UI:96, STAT:189, ROLE: 8) </t>
  </si>
  <si>
    <t xml:space="preserve">Oma henkilökunta (yo) (UI:229, STAT:192, ROLE: 2) </t>
  </si>
  <si>
    <t xml:space="preserve">Toisen asteen henkilökunta (UI:675, STAT:1055, ROLE: 2) </t>
  </si>
  <si>
    <t xml:space="preserve">Ulkopuolisen yliopiston henkilökunta (UI:231, STAT:194, ROLE: 2) </t>
  </si>
  <si>
    <t xml:space="preserve">Oma opiskelija (yo) (UI:228, STAT:191, ROLE: 2) </t>
  </si>
  <si>
    <t xml:space="preserve">Toisen asteen opiskelija (UI:676, STAT:1054, ROLE: 2) </t>
  </si>
  <si>
    <t xml:space="preserve">Ulkopuolisen yliopiston opiskelija (UI:230, STAT:193, ROLE: 2) </t>
  </si>
  <si>
    <t xml:space="preserve">Amk:n opiskelija tai henkilökunta (UI:232, STAT:195, ROLE: 2) </t>
  </si>
  <si>
    <t xml:space="preserve">Muun oppilaitoksen opiskelija tai henkilökunta (UI:233, STAT:196, ROLE: 2) </t>
  </si>
  <si>
    <t xml:space="preserve">Opiskelija tai muun organisaation tutkija (UI:338, STAT:451, ROLE: 2) </t>
  </si>
  <si>
    <t xml:space="preserve">Elinkeinoelämän edustaja (UI:235, STAT:198, ROLE: 2) </t>
  </si>
  <si>
    <t xml:space="preserve">Julkishallinnon edustaja (UI:234, STAT:197, ROLE: 2) </t>
  </si>
  <si>
    <t xml:space="preserve">Media (UI:677, STAT:1053, ROLE: 2) </t>
  </si>
  <si>
    <t xml:space="preserve">Kotimainen kaukopalveluasiakas (UI:236, STAT:199, ROLE: 2) </t>
  </si>
  <si>
    <t xml:space="preserve">Ulkomainen kaukopalveluasiakas (UI:237, STAT:200, ROLE: 2) </t>
  </si>
  <si>
    <t xml:space="preserve">Muut (UI:238, STAT:201, ROLE: 2) </t>
  </si>
  <si>
    <t xml:space="preserve">C.2 Lainaus (UI:24, ROLE: 5) </t>
  </si>
  <si>
    <t xml:space="preserve">C.2.1 Kotilainat (UI:97) </t>
  </si>
  <si>
    <t xml:space="preserve">Lainat *** (UI:243, STAT:224, ROLE: 8) </t>
  </si>
  <si>
    <t xml:space="preserve">itsepalvelulainat (UI:400, STAT:225, ROLE: 2) </t>
  </si>
  <si>
    <t xml:space="preserve">lainat palvelutiskiltä (UI:401, STAT:226, ROLE: 2) </t>
  </si>
  <si>
    <t xml:space="preserve">Uusinnat (UI:244, STAT:227, ROLE: 8) </t>
  </si>
  <si>
    <t xml:space="preserve">itsepalvelu-uusinnat (UI:402, STAT:228, ROLE: 2) </t>
  </si>
  <si>
    <t xml:space="preserve">uusinta palvelutiskiltä *** (UI:437, STAT:415, ROLE: 2) </t>
  </si>
  <si>
    <t xml:space="preserve">automaattiuusinnat (UI:438, STAT:416, ROLE: 2) </t>
  </si>
  <si>
    <t xml:space="preserve">C.2.2 Lukusalilainat *** (UI:98, STAT:229, ROLE: 2) </t>
  </si>
  <si>
    <t xml:space="preserve">C.3 Tiedonhaku, toimeksiannot (UI:25, ROLE: 5) </t>
  </si>
  <si>
    <t xml:space="preserve">C.3.1 Toimeksiantojen määrä (UI:99, STAT:231, ROLE: 8) </t>
  </si>
  <si>
    <t xml:space="preserve">Maksulliset (UI:245, STAT:232, ROLE: 2) </t>
  </si>
  <si>
    <t xml:space="preserve">Maksuttomat (UI:246, STAT:233, ROLE: 3) </t>
  </si>
  <si>
    <t xml:space="preserve">C.4 Kaukolainaus kotimaassa (UI:26, ROLE: 5) </t>
  </si>
  <si>
    <t xml:space="preserve">C.4.1 Annetut kaukolainat (UI:100, STAT:235, ROLE: 8) </t>
  </si>
  <si>
    <t xml:space="preserve">Jäljenteenä *** (UI:404, STAT:239, ROLE: 2) </t>
  </si>
  <si>
    <t xml:space="preserve">C.4.2 Saadut kaukolainat (UI:101, STAT:240, ROLE: 8) </t>
  </si>
  <si>
    <t xml:space="preserve">Lähetetyt tilaukset (UI:249, STAT:241, ROLE: 2) </t>
  </si>
  <si>
    <t xml:space="preserve">Saadut lainat (UI:250) </t>
  </si>
  <si>
    <t xml:space="preserve">Lainana *** (UI:405, STAT:243, ROLE: 2) </t>
  </si>
  <si>
    <t xml:space="preserve">Jäljenteenä *** (UI:406, STAT:244, ROLE: 2) </t>
  </si>
  <si>
    <t xml:space="preserve">C.5 Kansainvälinen kaukolainaus (UI:27, ROLE: 5) </t>
  </si>
  <si>
    <t xml:space="preserve">C.5.1 Annetut kaukolainat (UI:102, STAT:246, ROLE: 8) </t>
  </si>
  <si>
    <t xml:space="preserve">Vastaanotetut tilaukset (UI:251, STAT:247, ROLE: 2) </t>
  </si>
  <si>
    <t xml:space="preserve">Annetut lainat (UI:252) </t>
  </si>
  <si>
    <t xml:space="preserve">Lainana *** (UI:407, STAT:249, ROLE: 2) </t>
  </si>
  <si>
    <t xml:space="preserve">Jäljenteenä *** (UI:408, STAT:250, ROLE: 2) </t>
  </si>
  <si>
    <t xml:space="preserve">C.5.2 Saadut kaukolainat (UI:103, STAT:251, ROLE: 8) </t>
  </si>
  <si>
    <t xml:space="preserve">C.6 Elektroninen dokumenttien välitys (UI:28, ROLE: 5) </t>
  </si>
  <si>
    <t xml:space="preserve">C.6.1 Kokonaismäärä (UI:104, STAT:257, ROLE: 8) </t>
  </si>
  <si>
    <t xml:space="preserve">Maksulliset (UI:255, STAT:258, ROLE: 2) </t>
  </si>
  <si>
    <t xml:space="preserve">Maksuttomat (UI:256, STAT:259, ROLE: 3) </t>
  </si>
  <si>
    <t xml:space="preserve">C.7 Kirjaston järjestämät tapahtumat (UI:29, ROLE: 5) </t>
  </si>
  <si>
    <t xml:space="preserve">C.7.1 Näyttelyjen määrä (UI:105, STAT:261, ROLE: 2) </t>
  </si>
  <si>
    <t xml:space="preserve">C.7.2 Tapahtumien määrä (UI:106, STAT:262, ROLE: 2) </t>
  </si>
  <si>
    <t xml:space="preserve">C.8 Kirjaston julkaisutoiminta (UI:30, ROLE: 5) </t>
  </si>
  <si>
    <t xml:space="preserve">C.8.1 Julkaisujen kokonaismäärä (UI:107, STAT:264, ROLE: 8) </t>
  </si>
  <si>
    <t xml:space="preserve">C.8.2 Kirjaston omat julkaisut (UI:108, STAT:267, ROLE: 8) </t>
  </si>
  <si>
    <t xml:space="preserve">C.8.3 Kehysorganisaatiolle toimittamat julkaisut (UI:109, STAT:270, ROLE: 8) </t>
  </si>
  <si>
    <t xml:space="preserve">C.9 Elektroniset palvelut (UI:31, ROLE: 5) </t>
  </si>
  <si>
    <t xml:space="preserve">C.9.1 Kokoelmatietokanta(näyttöluettelo) (UI:110) </t>
  </si>
  <si>
    <t xml:space="preserve">C.9.1.1 Katsotut tietueet (UI:263, STAT:276, ROLE: 2) </t>
  </si>
  <si>
    <t xml:space="preserve">C.9.1.2 Tiedonhakujen määrä (UI:264, STAT:277, ROLE: 2) </t>
  </si>
  <si>
    <t xml:space="preserve">C.9.1.3 Yhteydenottokerrat (2013 -) (UI:581, STAT:1095, ROLE: 2) </t>
  </si>
  <si>
    <t xml:space="preserve">C.9.2 Kokoava tiedonhakupalvelu (Finna) (UI:684) </t>
  </si>
  <si>
    <t xml:space="preserve">C.9.2.1 Tiedonhakujen määrä (UI:685, STAT:1117, ROLE: 2) </t>
  </si>
  <si>
    <t xml:space="preserve">C.9.2.2 Yhteydenottokerrat (UI:686, STAT:1118, ROLE: 2) </t>
  </si>
  <si>
    <t xml:space="preserve">C.9.3 Bibliografiset tietokannat (UI:111) </t>
  </si>
  <si>
    <t xml:space="preserve">C.9.3.1 Katsotut tietueet, josta *** (UI:357, STAT:649, ROLE: 8) </t>
  </si>
  <si>
    <t xml:space="preserve">FinELib-aineisto (2010-&gt;) (UI:456, STAT:650, ROLE: 7) </t>
  </si>
  <si>
    <t xml:space="preserve">Muut aineistot (kaikki ain. -&gt;2009) (UI:411, STAT:280, ROLE: 2) </t>
  </si>
  <si>
    <t xml:space="preserve">C.9.3.2 Tiedonhakujen määrä, josta (UI:358, STAT:651, ROLE: 8) </t>
  </si>
  <si>
    <t xml:space="preserve">FinELib-aineisto (2010-&gt;) (UI:457, STAT:652, ROLE: 7) </t>
  </si>
  <si>
    <t xml:space="preserve">Muut aineistot (kaikki ain. -&gt;2009) (UI:412, STAT:281, ROLE: 2) </t>
  </si>
  <si>
    <t xml:space="preserve">C.9.4 Hakuteostietokannat (UI:146) </t>
  </si>
  <si>
    <t xml:space="preserve">C.9.4.1 Haetut dokumentit tai tietueet, josta *** (UI:359, STAT:653, ROLE: 8) </t>
  </si>
  <si>
    <t xml:space="preserve">FinELib-aineisto (2010-&gt;) (UI:458, STAT:654, ROLE: 7) </t>
  </si>
  <si>
    <t xml:space="preserve">Muut aineistot (kaikki ain. -&gt;2009) (UI:450, STAT:480, ROLE: 2) </t>
  </si>
  <si>
    <t xml:space="preserve">C.9.4.2 Tiedonhakujen määrä, josta (UI:360, STAT:655, ROLE: 8) </t>
  </si>
  <si>
    <t xml:space="preserve">FinELib-aineisto (2010-&gt;) (UI:459, STAT:656, ROLE: 7) </t>
  </si>
  <si>
    <t xml:space="preserve">Muut aineistot (kaikki ain. -&gt;2009) (UI:451, STAT:481, ROLE: 2) </t>
  </si>
  <si>
    <t xml:space="preserve">C.9.5 Sanakirjatietokannat (UI:153) </t>
  </si>
  <si>
    <t xml:space="preserve">C.9.5.1 Haetut dokumentit tai tietueet, josta *** (UI:361, STAT:657, ROLE: 8) </t>
  </si>
  <si>
    <t xml:space="preserve">FinELib-aineisto (2010-&gt;) (UI:460, STAT:658, ROLE: 7) </t>
  </si>
  <si>
    <t xml:space="preserve">Muut aineistot (kaikki ain. -&gt;2009) (UI:454, STAT:636, ROLE: 2) </t>
  </si>
  <si>
    <t xml:space="preserve">C.9.5.2 Tiedonhakujen määrä, josta (UI:362, STAT:659, ROLE: 8) </t>
  </si>
  <si>
    <t xml:space="preserve">FinELib-aineisto (2010-&gt;) (UI:461, STAT:660, ROLE: 7) </t>
  </si>
  <si>
    <t xml:space="preserve">Muut aineistot (kaikki ain. -&gt;2009) (UI:455, STAT:637, ROLE: 2) </t>
  </si>
  <si>
    <t xml:space="preserve">C.9.6 Elektroniset kausijulkaisut (UI:112) </t>
  </si>
  <si>
    <t xml:space="preserve">C.9.6.1 Katsotut dokumentit, josta *** (UI:363, STAT:661, ROLE: 8) </t>
  </si>
  <si>
    <t xml:space="preserve">FinELib-aineisto (2010-&gt;) (UI:462, STAT:662, ROLE: 7) </t>
  </si>
  <si>
    <t xml:space="preserve">Muut aineistot (kaikki ain. -&gt;2009) (UI:413, STAT:284, ROLE: 2) </t>
  </si>
  <si>
    <t xml:space="preserve">C.9.7 Elektronisten kirjojen tietokannat (UI:152) </t>
  </si>
  <si>
    <t xml:space="preserve">C.9.7.1 Katsotut dokumentit, josta *** (UI:364, STAT:663, ROLE: 8) </t>
  </si>
  <si>
    <t xml:space="preserve">FinELib-aineisto (2010-&gt;) (UI:463, STAT:664, ROLE: 7) </t>
  </si>
  <si>
    <t xml:space="preserve">Muut aineistot (kaikki ain. -&gt;2009) (UI:453, STAT:631, ROLE: 2) </t>
  </si>
  <si>
    <t xml:space="preserve">C.9.8 Muut digitaaliset dokumentit (UI:113) </t>
  </si>
  <si>
    <t xml:space="preserve">C.9.8.1 Katsotut dokumentit, josta *** (UI:366, STAT:667, ROLE: 8) </t>
  </si>
  <si>
    <t xml:space="preserve">FinELib-aineisto (2010-&gt;) (UI:465, STAT:668, ROLE: 7) </t>
  </si>
  <si>
    <t xml:space="preserve">Muut aineistot (kaikki ain. -&gt;2009) (UI:415, STAT:288, ROLE: 2) </t>
  </si>
  <si>
    <t xml:space="preserve">C.9.8.2 Yhteydenottokerrat, josta (UI:365, STAT:665, ROLE: 8) </t>
  </si>
  <si>
    <t xml:space="preserve">FinELib-aineisto (2010-&gt;) (UI:464, STAT:666, ROLE: 7) </t>
  </si>
  <si>
    <t xml:space="preserve">Muut aineistot (kaikki ain. -&gt;2009) (UI:414, STAT:287, ROLE: 2) </t>
  </si>
  <si>
    <t xml:space="preserve">C.10 Kirjastokäynnit (UI:32, ROLE: 5) </t>
  </si>
  <si>
    <t xml:space="preserve">C.10.1 Käyntien määrä vuodessa *** (UI:115, STAT:293, ROLE: 3) </t>
  </si>
  <si>
    <t xml:space="preserve">C.11 Käyttäjäkoulutus (UI:33, ROLE: 5) </t>
  </si>
  <si>
    <t xml:space="preserve">C.11.1 Kirjastokäytön koulutus / opetus (UI:116) </t>
  </si>
  <si>
    <t xml:space="preserve">Opetukseen käytetty aika tunteina (UI:266, STAT:296, ROLE: 2) </t>
  </si>
  <si>
    <t xml:space="preserve">Osanottajamäärä (UI:267, STAT:297, ROLE: 3) </t>
  </si>
  <si>
    <t xml:space="preserve">C.11.2 Suoritettujen kurssien opintopistemäärä (UI:117, STAT:298, ROLE: 2) </t>
  </si>
  <si>
    <t xml:space="preserve">C.11.3 Suoritettujen verkkokurssien opintopistemäärä (UI:118, STAT:299, ROLE: 2) </t>
  </si>
  <si>
    <t xml:space="preserve">D Aukioloajat ja tilat (UI:4) </t>
  </si>
  <si>
    <t xml:space="preserve">D.1 Aukiolotunnit (UI:34, STAT:302, ROLE: 5) </t>
  </si>
  <si>
    <t xml:space="preserve">D.1.1 Aukiolotunnit viikon aikana (UI:120, STAT:303, ROLE: 8) </t>
  </si>
  <si>
    <t xml:space="preserve">Pääkirjasto (UI:268, STAT:304, ROLE: 8) </t>
  </si>
  <si>
    <t xml:space="preserve">Palvelu (UI:632, STAT:1089, ROLE: 2) </t>
  </si>
  <si>
    <t xml:space="preserve">Itsepalvelu (UI:633, STAT:1090, ROLE: 2) </t>
  </si>
  <si>
    <t xml:space="preserve">Muut toimipisteet (UI:269, STAT:305, ROLE: 8) </t>
  </si>
  <si>
    <t xml:space="preserve">D.2 Aukiolopäivät (UI:35, ROLE: 5) </t>
  </si>
  <si>
    <t xml:space="preserve">D.2.1 Aukiolopäivien määrä tilastointikaudella (UI:121, STAT:307, ROLE: 8) </t>
  </si>
  <si>
    <t xml:space="preserve">Pääkirjasto (UI:270, STAT:308, ROLE: 2) </t>
  </si>
  <si>
    <t xml:space="preserve">Muut toimipisteet yhteensä (UI:271, STAT:309, ROLE: 2) </t>
  </si>
  <si>
    <t xml:space="preserve">D.3 Asiakaspaikat (UI:36, ROLE: 5) </t>
  </si>
  <si>
    <t xml:space="preserve">D.3.1 Luku- ja työskentelypaikat yhteensä, joista *** (UI:122, STAT:311, ROLE: 2) </t>
  </si>
  <si>
    <t xml:space="preserve">ryhmätyötiloissa (UI:272, STAT:312, ROLE: 2) </t>
  </si>
  <si>
    <t xml:space="preserve">tutkijanhuoneissa (UI:273, STAT:313, ROLE: 2) </t>
  </si>
  <si>
    <t xml:space="preserve">D.4 Työasemat (UI:37, ROLE: 5) </t>
  </si>
  <si>
    <t xml:space="preserve">D.4.1 Asiakkaiden käytössä olevien työasemien määrä *** (UI:123, STAT:315, ROLE: 2) </t>
  </si>
  <si>
    <t xml:space="preserve">D.4.2 Henkilökunnan työasemien määrä (UI:124, STAT:316, ROLE: 2) </t>
  </si>
  <si>
    <t xml:space="preserve">D.4.3 Asiakkaiden käytössä olevat internet-yhteydet (UI:125, STAT:317, ROLE: 2) </t>
  </si>
  <si>
    <t xml:space="preserve">D.4.4 Asiakkaiden käytössä olevien lisälaitteiden määrä (UI:126, STAT:318, ROLE: 2) </t>
  </si>
  <si>
    <t xml:space="preserve">D.5 Kirjaston tilat (UI:38, ROLE: 5) </t>
  </si>
  <si>
    <t xml:space="preserve">D.5.1 kirjaston käytössä olevat tilat (UI:127) </t>
  </si>
  <si>
    <t xml:space="preserve">Neliömetreinä yhteensä (UI:274, STAT:321, ROLE: 8) </t>
  </si>
  <si>
    <t xml:space="preserve">Asiakaspalvelutilat (sis. avokokoelmatilat) (UI:416, STAT:322, ROLE: 2) </t>
  </si>
  <si>
    <t xml:space="preserve">Muut kirjastotoimintaan tarvittavat tilat, josta (UI:417, STAT:323, ROLE: 2) </t>
  </si>
  <si>
    <t xml:space="preserve">suljettujen kokoelmien tilat (UI:470, STAT:324, ROLE: 2) </t>
  </si>
  <si>
    <t xml:space="preserve">muut tilat (kokous, näyttely yms.tilat) (UI:418, STAT:325, ROLE: 2) </t>
  </si>
  <si>
    <t xml:space="preserve">D.5.2 kirjastorakennuksen kokonaispinta-ala neliömetreinä (UI:128, STAT:326, ROLE: 2) </t>
  </si>
  <si>
    <t xml:space="preserve">D.5.3 hyllytila (UI:129) </t>
  </si>
  <si>
    <t xml:space="preserve">käytössä olevat hyllymetrit yhteensä (UI:275, STAT:328, ROLE: 2) </t>
  </si>
  <si>
    <t xml:space="preserve">avokokoelmien hyllymetrit (UI:276, STAT:329, ROLE: 2) </t>
  </si>
  <si>
    <t xml:space="preserve">E Talous (UI:5) </t>
  </si>
  <si>
    <t xml:space="preserve">E.1 Toimintakulut (x 1000 €) (UI:39, STAT:331, ROLE: 5) </t>
  </si>
  <si>
    <t xml:space="preserve">E.1.1 Toimintakulut yhteensä *** (UI:130, STAT:332, ROLE: 8) </t>
  </si>
  <si>
    <t xml:space="preserve">E.1.1.1 Henkilöstökulut (UI:277, STAT:334, ROLE: 8) </t>
  </si>
  <si>
    <t xml:space="preserve">henkilökunnan palkat ja sivukulut (UI:419, STAT:335, ROLE: 2) </t>
  </si>
  <si>
    <t xml:space="preserve">henkilökunnan koulutuskulut (UI:420, STAT:336, ROLE: 2) </t>
  </si>
  <si>
    <t xml:space="preserve">E.1.1.2 Kirjastoaineistokulut *** (UI:278, STAT:338, ROLE: 8) </t>
  </si>
  <si>
    <t xml:space="preserve">E.1.1.2.1 Painettu aineisto, josta (UI:421, STAT:340, ROLE: 8) </t>
  </si>
  <si>
    <t xml:space="preserve">Kausijulkaisut (UI:422, STAT:341, ROLE: 2) </t>
  </si>
  <si>
    <t xml:space="preserve">Kurssikirjat *** (UI:423, STAT:342, ROLE: 2) </t>
  </si>
  <si>
    <t xml:space="preserve">Muut monografiat (UI:424, STAT:343, ROLE: 2) </t>
  </si>
  <si>
    <t xml:space="preserve">E.1.1.2.2 Elektroninen aineisto, josta *** (UI:425, STAT:344, ROLE: 8) </t>
  </si>
  <si>
    <t xml:space="preserve">Kausijulkaisut (UI:426, STAT:346, ROLE: 2) </t>
  </si>
  <si>
    <t xml:space="preserve">Kurssimateriaalit (verkossa) (UI:427, STAT:347, ROLE: 2) </t>
  </si>
  <si>
    <t xml:space="preserve">Elektroniset kirjat (UI:428, STAT:348, ROLE: 2) </t>
  </si>
  <si>
    <t xml:space="preserve">Muu elektroninen aineisto (UI:449, STAT:477, ROLE: 2) </t>
  </si>
  <si>
    <t xml:space="preserve">E.1.1.2.3 Muu aineisto (UI:429, STAT:349, ROLE: 2) </t>
  </si>
  <si>
    <t xml:space="preserve">E.1.1.3 Kokoelmien huolto (UI:280, STAT:351, ROLE: 8) </t>
  </si>
  <si>
    <t xml:space="preserve">sitomo- ja konservointipalvelut (UI:430, STAT:353, ROLE: 2) </t>
  </si>
  <si>
    <t xml:space="preserve">ulkoistetut digitointipalvelut (UI:431, STAT:354, ROLE: 2) </t>
  </si>
  <si>
    <t xml:space="preserve">muut kokoelmien huoltokulut (UI:445, STAT:461, ROLE: 2) </t>
  </si>
  <si>
    <t xml:space="preserve">E.1.1.4 Tilakulut tai laskennalliset tilakulut (UI:281, STAT:355, ROLE: 3) </t>
  </si>
  <si>
    <t xml:space="preserve">E.1.1.5 Tietotekniikka ja tietoliikenne (UI:282, STAT:357, ROLE: 3) </t>
  </si>
  <si>
    <t xml:space="preserve">E.1.1.6 Muut kulut (UI:283, STAT:359, ROLE: 2) </t>
  </si>
  <si>
    <t xml:space="preserve">E.2 Kirjastoaineistokulut koko organisaatiossa (x 1000 €) (UI:45, ROLE: 5) </t>
  </si>
  <si>
    <t xml:space="preserve">E.2.1 Kirjastoaineistokulut organisaatiossa yhteensä (UI:147, STAT:482, ROLE: 8) </t>
  </si>
  <si>
    <t xml:space="preserve">E.2.1.1 Epäsuoralla rahoituksella katetut aineistonhankintakulut (UI:279, STAT:350, ROLE: 8) </t>
  </si>
  <si>
    <t xml:space="preserve">E.2.1.1.1 Painettu aineisto, josta (UI:448, STAT:471, ROLE: 8) </t>
  </si>
  <si>
    <t xml:space="preserve">kausijulkaisut (UI:471, STAT:462, ROLE: 2) </t>
  </si>
  <si>
    <t xml:space="preserve">kurssikirjat (UI:472, STAT:463, ROLE: 2) </t>
  </si>
  <si>
    <t xml:space="preserve">muut monografiat (UI:473, STAT:464, ROLE: 2) </t>
  </si>
  <si>
    <t xml:space="preserve">E.2.1.1.2 Elektroninen aineisto, josta (UI:446, STAT:465, ROLE: 8) </t>
  </si>
  <si>
    <t xml:space="preserve">kausijulkaisut (UI:474, STAT:467, ROLE: 2) </t>
  </si>
  <si>
    <t xml:space="preserve">kurssimateriaalit (verkossa) (UI:475, STAT:468, ROLE: 2) </t>
  </si>
  <si>
    <t xml:space="preserve">elektroniset kirjat (UI:476, STAT:469, ROLE: 2) </t>
  </si>
  <si>
    <t xml:space="preserve">muu elektroninen aineisto (UI:477, STAT:476, ROLE: 2) </t>
  </si>
  <si>
    <t xml:space="preserve">E.2.1.1.3 Muu aineisto (UI:447, STAT:470, ROLE: 2) </t>
  </si>
  <si>
    <t xml:space="preserve">E.2.1.2 Kirjastoaineistokulut (kirjaston budjetti) (UI:340, STAT:460, ROLE: 8) </t>
  </si>
  <si>
    <t xml:space="preserve">E.2.1.3 Keskitetyllä rahoituksella hankittu elektroninen aineisto (UI:344, STAT:490, ROLE: 8) </t>
  </si>
  <si>
    <t xml:space="preserve">E.2.1.3.1 Aineistonhankinnat yhteisprojektien rahoituksella, josta (UI:452, STAT:492, ROLE: 8) </t>
  </si>
  <si>
    <t xml:space="preserve">kausijulkaisut (UI:478, STAT:497, ROLE: 2) </t>
  </si>
  <si>
    <t xml:space="preserve">kurssimateriaalit (verkossa) (UI:479, STAT:498, ROLE: 2) </t>
  </si>
  <si>
    <t xml:space="preserve">elektroniset kirjat (UI:480, STAT:499, ROLE: 2) </t>
  </si>
  <si>
    <t xml:space="preserve">muu elektroninen aineisto (UI:481, STAT:500, ROLE: 2) </t>
  </si>
  <si>
    <t xml:space="preserve">E.3 Pääomakulut (x 1000 €) (UI:41, STAT:361, ROLE: 5) </t>
  </si>
  <si>
    <t xml:space="preserve">E.3.1 Pääomakulut yhteensä (UI:148, STAT:483, ROLE: 8) </t>
  </si>
  <si>
    <t xml:space="preserve">E.3.1.1 Rakentaminen (UI:284, STAT:362, ROLE: 2) </t>
  </si>
  <si>
    <t xml:space="preserve">E.3.1.2 Tietojärjestelmät (UI:285, STAT:363, ROLE: 2) </t>
  </si>
  <si>
    <t xml:space="preserve">E.3.1.3 Muut (UI:286, STAT:364, ROLE: 2) </t>
  </si>
  <si>
    <t xml:space="preserve">E.4 Kirjaston rahoitus (x 1000 €) (UI:42, ROLE: 5) </t>
  </si>
  <si>
    <t xml:space="preserve">E.4.1 Kirjaston rahoitus yhteensä *** (UI:149, STAT:484, ROLE: 8) </t>
  </si>
  <si>
    <t xml:space="preserve">E.4.1.1 Rahoitus omalta kehysorganisaatiolta, josta (UI:287, STAT:366, ROLE: 8) </t>
  </si>
  <si>
    <t xml:space="preserve">E.4.1.1.1 Suora budjettirahoitus *** (UI:432, STAT:367, ROLE: 2) </t>
  </si>
  <si>
    <t xml:space="preserve">E.4.1.1.2 Epäsuora budjettirahoitus (UI:433, STAT:368, ROLE: 3) </t>
  </si>
  <si>
    <t xml:space="preserve">E.4.1.1.3 Hanke- ja projektirahoitus (UI:434, STAT:369, ROLE: 2) </t>
  </si>
  <si>
    <t xml:space="preserve">E.4.1.2 Muu julkinen rahoitus, josta (UI:288, STAT:370, ROLE: 2) </t>
  </si>
  <si>
    <t xml:space="preserve">hanke- ja projektirahoitusta (UI:435, STAT:371, ROLE: 2) </t>
  </si>
  <si>
    <t xml:space="preserve">E.4.1.3 Yksityinen rahoitus (UI:289, STAT:372, ROLE: 2) </t>
  </si>
  <si>
    <t xml:space="preserve">E.4.1.4 Maksullisen palvelun tulot (UI:290, STAT:373, ROLE: 2) </t>
  </si>
  <si>
    <t xml:space="preserve">E.4.1.5 Yhteisprojektien rahoitus (UI:345, STAT:501, ROLE: 2) </t>
  </si>
  <si>
    <t xml:space="preserve">E.4.1.6 Muu rahoitus (UI:291, STAT:374, ROLE: 2) </t>
  </si>
  <si>
    <t xml:space="preserve">E.5 Lisätietoja (x 1000 €) (UI:46, ROLE: 5) </t>
  </si>
  <si>
    <t xml:space="preserve">E.5.1 Kirjaston budjettiin sisältyvät FinELibin lisenssimaksut (UI:133, STAT:345, ROLE: 2) </t>
  </si>
  <si>
    <t xml:space="preserve">E.5.2 Kehysorganisaation budjettiin sisältyvät FinELibin lisenssimaksut (UI:144, STAT:466, ROLE: 2) </t>
  </si>
  <si>
    <t xml:space="preserve">E.5.3 Käytetty OKM:n aineistomääräraha elektronisten aineistojen hankintaan, josta: (UI:150, STAT:601, ROLE: 8) </t>
  </si>
  <si>
    <t xml:space="preserve">Elektroniset kausijulkaisut (UI:346, STAT:602, ROLE: 2) </t>
  </si>
  <si>
    <t xml:space="preserve">Kurssimateriaalit (verkossa) (UI:347, STAT:603, ROLE: 2) </t>
  </si>
  <si>
    <t xml:space="preserve">Elektroniset kirjat (UI:348, STAT:604, ROLE: 2) </t>
  </si>
  <si>
    <t xml:space="preserve">Muu elektroninen aineisto (UI:349, STAT:605, ROLE: 2) </t>
  </si>
  <si>
    <t xml:space="preserve">E.5.4 Myönnetty OKM:n aineistomääräraha elektronisten aineistojen hankintaan *** (UI:151, STAT:606, ROLE: 2) </t>
  </si>
  <si>
    <t xml:space="preserve">F Henkilökunta (UI:6) </t>
  </si>
  <si>
    <t xml:space="preserve">F.1 Kirjaston henkilökunta (UI:43, ROLE: 5) </t>
  </si>
  <si>
    <t xml:space="preserve">F.1.1 Henkilöstön määrä vuoden lopussa (UI:138, STAT:377, ROLE: 2) </t>
  </si>
  <si>
    <t xml:space="preserve">F.1.2 Henkilötyövuodet (htv), josta *** (UI:139, STAT:378, ROLE: 8) </t>
  </si>
  <si>
    <t xml:space="preserve">Kirjaston rahoituksella palkattuja (htv) (UI:342, STAT:474, ROLE: 2) </t>
  </si>
  <si>
    <t xml:space="preserve">Maksullisen palvelutoiminnan rahoituksella palkattuja (htv) (UI:343, STAT:475, ROLE: 2) </t>
  </si>
  <si>
    <t xml:space="preserve">Kirjaston ulkopuolisella rahoituksella palkattuja (htv) (UI:292, STAT:379, ROLE: 2) </t>
  </si>
  <si>
    <t xml:space="preserve">F.1.3 Henkilötyövuosista (UI:145, STAT:473, ROLE: 8) </t>
  </si>
  <si>
    <t xml:space="preserve">Kirjastoammatillinen henkilökunta (htv), josta (UI:293, STAT:380, ROLE: 2) </t>
  </si>
  <si>
    <t xml:space="preserve">ylemmän korkeakoulututkinnon suorittaneita (htv) (UI:436, STAT:381, ROLE: 2) </t>
  </si>
  <si>
    <t xml:space="preserve">Muut asiantuntijat (htv) (UI:294, STAT:382, ROLE: 2) </t>
  </si>
  <si>
    <t xml:space="preserve">Muu kirjaston henkilökunta (htv) (UI:295, STAT:383, ROLE: 2) </t>
  </si>
  <si>
    <t xml:space="preserve">F.2 Henkilökunnan koulutus (UI:44, STAT:384, ROLE: 5) </t>
  </si>
  <si>
    <t xml:space="preserve">F.2.1 Koulutuspäivät yhteensä (UI:140, STAT:385, ROLE: 2) </t>
  </si>
  <si>
    <t xml:space="preserve">F.2.2 Koulutuksen saaneen henkilöstön määrä (UI:141, STAT:386, ROLE: 2) </t>
  </si>
  <si>
    <t xml:space="preserve">G Tunnusluvut: Kirjaston käyttö (UI:482, ROLE: 5) </t>
  </si>
  <si>
    <t xml:space="preserve">Kirjastokäynnit (fyysiset ja virtuaaliset) / kohdeväestö (ISO 11620) (UI:488, STAT:1005, ROLE: 8) </t>
  </si>
  <si>
    <t xml:space="preserve">Kirjastokäynnit / kohdeväestö (UI:483, STAT:1000, ROLE: 8) </t>
  </si>
  <si>
    <t xml:space="preserve">Kohdeväestön aktiiviset lainaajat / kaikki aktiiviset lainaajat % (UI:487, STAT:1004, ROLE: 8) </t>
  </si>
  <si>
    <t xml:space="preserve">Lainat / kohdeväestö (ISO 11620) (UI:484, STAT:1001, ROLE: 8) </t>
  </si>
  <si>
    <t xml:space="preserve">Kokonaislainaus / kohdeväestö (UI:696, STAT:1128, ROLE: 8) </t>
  </si>
  <si>
    <t xml:space="preserve">Lainat / painetut kokoelmat yhteensä (UI:485, STAT:1002, ROLE: 8) </t>
  </si>
  <si>
    <t xml:space="preserve">Lainat ja elektronisten palvelujen aineiston lataukset / kohdeväestö (UI:490, STAT:1007, ROLE: 8) </t>
  </si>
  <si>
    <t xml:space="preserve">Saadut kaukolainat ja jäljenteet / annetut kaukolainat ja jäljenteet (UI:489, STAT:1006, ROLE: 8) </t>
  </si>
  <si>
    <t xml:space="preserve">H Tunnusluvut: Kirjaston kokoelmat (UI:491, ROLE: 5) </t>
  </si>
  <si>
    <t xml:space="preserve">Elektroniset kausijulkaisut (nimekettä) / kohdeväestö (UI:493, STAT:1009, ROLE: 8) </t>
  </si>
  <si>
    <t xml:space="preserve">Haetut dokumentit / elektroniset kokoelmat verkossa (nimekkeet yhteensä) -&gt;2012 (UI:497, STAT:1013, ROLE: 8) </t>
  </si>
  <si>
    <t xml:space="preserve">Haetut dokumentit / elektroniset kokoelmat verkossa (nimekkeet yhteensä) 2013-&gt; (UI:667, STAT:1102, ROLE: 8) </t>
  </si>
  <si>
    <t xml:space="preserve">Kurssikirjahankintakulut (€) / kehysorganisaation aloituspaikka (UI:496, STAT:1012, ROLE: 8) </t>
  </si>
  <si>
    <t xml:space="preserve">Ostetut painetut monografiat / kohdeväestö (UI:492, STAT:1008, ROLE: 8) </t>
  </si>
  <si>
    <t xml:space="preserve">Ostetut elektroniset monografiat (sy tai nimekettä) / kohdeväestö (UI:688, STAT:1121, ROLE: 8) </t>
  </si>
  <si>
    <t xml:space="preserve">Ostetut monografiat (kaikki aineistotyypit) / kohdeväestö (UI:689, STAT:1122, ROLE: 8) </t>
  </si>
  <si>
    <t xml:space="preserve">Painetun kokoelman kartunta / painetut kokoelmat yhteensä % (UI:494, STAT:1010, ROLE: 8) </t>
  </si>
  <si>
    <t xml:space="preserve">Elektronisen kokoelman kartunta (nimekettä) / elektroniset kokoelmat yhteensä (nimekettä) % (UI:690, STAT:1123, ROLE: 8) </t>
  </si>
  <si>
    <t xml:space="preserve">Kokoelman kartunta / kokoelmat yhteensä (kaikki aineistotyypit, säilytysyksikköä tai nimekettä) % (UI:691, STAT:1124, ROLE: 8) </t>
  </si>
  <si>
    <t xml:space="preserve">Saapuvat painetut ja mikromuotoiset kausijulkaisut (nimekettä) / kohdeväestö (UI:495, STAT:1011, ROLE: 8) </t>
  </si>
  <si>
    <t xml:space="preserve">Saapuvat elektroniset kausijulkaisut (nimekettä) / kohdeväestö (UI:692, STAT:1125, ROLE: 8) </t>
  </si>
  <si>
    <t xml:space="preserve">Saapuvat kausijulkaisut (kaikki aineistotyypit, nimekettä) / kohdeväestö (UI:693, STAT:1126, ROLE: 8) </t>
  </si>
  <si>
    <t xml:space="preserve">I Tunnusluvut: Kirjaston voimavarat (UI:498, ROLE: 5) </t>
  </si>
  <si>
    <t xml:space="preserve">Elektronisen aineiston hankintakulut / elektronisesta aineistosta ladatut dokumentit, muu kuin FinELib-aineisto (Latauksen hinta €) (UI:511, STAT:1026, ROLE: 8) </t>
  </si>
  <si>
    <t xml:space="preserve">Käytetty OKM:n aineistomääräraha elektronisten aineistojen hankintaan / FinELib-aineistojen lataukset yhteensä (FinELib-latauksen hinta €) (UI:694, STAT:1127, ROLE: 8) </t>
  </si>
  <si>
    <t xml:space="preserve">Elektronisen aineiston hankintakulut / kirjastoaineiston hankintakulut % (UI:507, STAT:1022, ROLE: 8) </t>
  </si>
  <si>
    <t xml:space="preserve">Kirjastoaineistokulut (€) / kohdeväestö (fyysiset ja digitaaliset aineistot) [kirjaston budjetti] (UI:510, STAT:1025, ROLE: 8) </t>
  </si>
  <si>
    <t xml:space="preserve">Kirjastoaineistokulut (kaikki aineistotyypit, €, koko org. yht.) / kohdeväestö (UI:509, STAT:1024, ROLE: 8) </t>
  </si>
  <si>
    <t xml:space="preserve">Kirjastoaineistokulut (kirjaston budjetti) / kirjaston kokonaiskulut % (UI:506, STAT:1021, ROLE: 8) </t>
  </si>
  <si>
    <t xml:space="preserve">Kirjastoaineistokulut / kehysorganisaation kokonaiskulut % (UI:504, STAT:1019, ROLE: 8) </t>
  </si>
  <si>
    <t xml:space="preserve">Kirjaston henkilökunta (htv) / kohdeväestö (x 1000) (UI:502, STAT:1017, ROLE: 8) </t>
  </si>
  <si>
    <t xml:space="preserve">Kirjaston kokonaiskulut (€) / kohdeväestö (UI:501, STAT:1016, ROLE: 8) </t>
  </si>
  <si>
    <t xml:space="preserve">Kirjaston kokonaiskulut / kehysorganisaation kokonaiskulut % (UI:505, STAT:1020, ROLE: 8) </t>
  </si>
  <si>
    <t xml:space="preserve">Kirjaston luku- ja työskentelypaikat sekä työasemat / kohdeväestö (x 1000) (UI:512, STAT:1027, ROLE: 8) </t>
  </si>
  <si>
    <t xml:space="preserve">Kirjaston luku- ja työskentelypaikat sekä työasemat/omat opiskelijat (x 1000) (ISO 11620) (UI:508, STAT:1023, ROLE: 8) </t>
  </si>
  <si>
    <t xml:space="preserve">Kohdeväestö / kirjaston henkilökunta (htv) (UI:500, STAT:1015, ROLE: 8) </t>
  </si>
  <si>
    <t xml:space="preserve">Panos-tuotos (UI:499, STAT:1014, ROLE: 8) </t>
  </si>
  <si>
    <t xml:space="preserve">Suoran budjettirahoituksen osuus koko rahoituksesta % (UI:503, STAT:1018, ROLE: 8) </t>
  </si>
  <si>
    <t xml:space="preserve">Maan väkiluku raportointikauden alussa (UI:158, STAT:6, ROLE: 2) </t>
  </si>
  <si>
    <t xml:space="preserve">Avoimen ammattikorkeakoulun opiskelijamäärä (UI:337, STAT:450, ROLE: 2) </t>
  </si>
  <si>
    <t xml:space="preserve">B.1.9 Korkeakoulukirjastojen kansalliset palvelut (UI:352) </t>
  </si>
  <si>
    <t xml:space="preserve">B.1.9.1 Korkeakoulukirjastojen tietueiden määrä Finnan indeksissä (UI:682, STAT:1116, ROLE: 2) </t>
  </si>
  <si>
    <t xml:space="preserve">B.1.9.2 Suomalainen verkkoarkisto (UI:683, STAT:643, ROLE: 2) </t>
  </si>
  <si>
    <t xml:space="preserve">Suomalainen verkkoarkisto (UI:353, STAT:644, ROLE: 2) </t>
  </si>
  <si>
    <t xml:space="preserve">Oma henkilökunta (amk) (UI:599, STAT:1067, ROLE: 2) </t>
  </si>
  <si>
    <t xml:space="preserve">Oman organisaation henkilökunta (UI:307, STAT:420, ROLE: 2) </t>
  </si>
  <si>
    <t xml:space="preserve">Ulkopuolisen amk:n henkilökunta (UI:311, STAT:424, ROLE: 2) </t>
  </si>
  <si>
    <t xml:space="preserve">Oma opiskelija (amk) (UI:598, STAT:1066, ROLE: 2) </t>
  </si>
  <si>
    <t xml:space="preserve">Ulkopuolisen amk:n opiskelija (UI:309, STAT:422, ROLE: 2) </t>
  </si>
  <si>
    <t xml:space="preserve">Yliopiston opiskelija tai henkilökunta (UI:313, STAT:426, ROLE: 2) </t>
  </si>
  <si>
    <t xml:space="preserve">Oma henkilökunta (amk) *** (UI:602, STAT:1062, ROLE: 2) </t>
  </si>
  <si>
    <t xml:space="preserve">Oman organisaation henkilökunta *** (UI:323, STAT:436, ROLE: 2) </t>
  </si>
  <si>
    <t xml:space="preserve">Ulkopuolisen amk:n henkilökunta (UI:327, STAT:440, ROLE: 2) </t>
  </si>
  <si>
    <t xml:space="preserve">Oma opiskelija (amk) *** (UI:603, STAT:1061, ROLE: 2) </t>
  </si>
  <si>
    <t xml:space="preserve">Ulkopuolisen amk:n opiskelija (UI:325, STAT:438, ROLE: 2) </t>
  </si>
  <si>
    <t xml:space="preserve">Yliopiston opiskelija tai henkilökunta (UI:329, STAT:442, ROLE: 2) </t>
  </si>
  <si>
    <t xml:space="preserve">Oma henkilökunta (amk) (UI:601, STAT:1057, ROLE: 2) </t>
  </si>
  <si>
    <t xml:space="preserve">Oman organisaation henkilökunta (UI:242, STAT:215, ROLE: 2) </t>
  </si>
  <si>
    <t xml:space="preserve">Ulkopuolisen amk:n henkilökunta (UI:240, STAT:206, ROLE: 2) </t>
  </si>
  <si>
    <t xml:space="preserve">Oma opiskelija (amk) (UI:600, STAT:1056, ROLE: 2) </t>
  </si>
  <si>
    <t xml:space="preserve">Ulkopuolisen amk:n opiskelija (UI:239, STAT:205, ROLE: 2) </t>
  </si>
  <si>
    <t xml:space="preserve">Yliopiston opiskelija tai henkilökunta (UI:241, STAT:207, ROLE: 2) </t>
  </si>
  <si>
    <t xml:space="preserve">Haetut dokumentit / miljoona tietuetta Suomalaisen verkkoarkiston kokoelmassa (UI:687, STAT:1120, ROLE: 8) </t>
  </si>
  <si>
    <t xml:space="preserve">Annetut lainat (UI:248) </t>
  </si>
  <si>
    <t xml:space="preserve">Saadut lainat (UI:254) </t>
  </si>
  <si>
    <t xml:space="preserve">Painettuja (UI:261, STAT:271, ROLE: 2) </t>
  </si>
  <si>
    <t xml:space="preserve">Elektronisia (UI:262, STAT:272, ROLE: 2) </t>
  </si>
  <si>
    <t xml:space="preserve">Vastaanotetut tilaukset (UI:247, STAT:236, ROLE: 2) </t>
  </si>
  <si>
    <t xml:space="preserve">Lainana *** (UI:403, STAT:238, ROLE: 2) </t>
  </si>
  <si>
    <t xml:space="preserve">Lähetetyt tilaukset (UI:253, STAT:252, ROLE: 2) </t>
  </si>
  <si>
    <t xml:space="preserve">Lainana *** (UI:409, STAT:254, ROLE: 2) </t>
  </si>
  <si>
    <t xml:space="preserve">Jäljenteenä *** (UI:410, STAT:255, ROLE: 2) </t>
  </si>
  <si>
    <t xml:space="preserve">Painettuja (UI:257, STAT:265, ROLE: 8) </t>
  </si>
  <si>
    <t xml:space="preserve">Elektronisia (UI:258, STAT:266, ROLE: 8) </t>
  </si>
  <si>
    <t xml:space="preserve">Painettuja (UI:259, STAT:268, ROLE: 2) </t>
  </si>
  <si>
    <t xml:space="preserve">Elektronisia (UI:260, STAT:269, ROLE: 2) </t>
  </si>
  <si>
    <t>Finna</t>
  </si>
  <si>
    <t>Kaikki</t>
  </si>
  <si>
    <t>Ilman Finnaa</t>
  </si>
  <si>
    <t>Ilman kokoelmatietokantaa</t>
  </si>
  <si>
    <t>Ei Finnaa eikä kokoelmatietokantaa</t>
  </si>
  <si>
    <t>Ilman kokoelma- ja bibliografista tietokantaa</t>
  </si>
  <si>
    <t>Ilman bibliografista tietokantaa</t>
  </si>
  <si>
    <t>E-kurssimateriaalit</t>
  </si>
  <si>
    <t>Hvt-luvut</t>
  </si>
  <si>
    <t>Menot vs. kokoelmat ja hlöstö</t>
  </si>
  <si>
    <t>Tarkistus - summan oltava nolla:</t>
  </si>
  <si>
    <t xml:space="preserve">A Bibliotek (UI:1) </t>
  </si>
  <si>
    <t xml:space="preserve">A.1 Bibliotekstyp och enheter (UI:7, ROLE: 5) </t>
  </si>
  <si>
    <t xml:space="preserve">A.1.1 Grunduppgifter (UI:47) </t>
  </si>
  <si>
    <t xml:space="preserve">Servicepunkter (UI:157, STAT:5, ROLE: 9) </t>
  </si>
  <si>
    <t xml:space="preserve">Huvudbibliotek (UI:367, STAT:12, ROLE: 2) </t>
  </si>
  <si>
    <t xml:space="preserve">Servicepunkter (UI:368, STAT:13, ROLE: 2) </t>
  </si>
  <si>
    <t xml:space="preserve">Landets befolkningsmängd vid årets ingång (UI:158, STAT:6, ROLE: 2) </t>
  </si>
  <si>
    <t xml:space="preserve">A.1.2 Ramorganisationens (UI:48) </t>
  </si>
  <si>
    <t xml:space="preserve">Personalantal *** (UI:159, STAT:15, ROLE: 2) </t>
  </si>
  <si>
    <t xml:space="preserve">Antal studeranden *** (UI:160, STAT:16, ROLE: 2) </t>
  </si>
  <si>
    <t xml:space="preserve">Antal studeranden vid öppet universitet (UI:161, STAT:17, ROLE: 2) </t>
  </si>
  <si>
    <t xml:space="preserve">Antalet studerande vid öppna yrkeshögskolan (UI:337, STAT:450, ROLE: 2) </t>
  </si>
  <si>
    <t xml:space="preserve">Påbyggnadstuderanden (UI:162, STAT:18, ROLE: 2) </t>
  </si>
  <si>
    <t xml:space="preserve">Personalens antal (åv) (UI:163, STAT:19, ROLE: 2) </t>
  </si>
  <si>
    <t xml:space="preserve">Antalet heltidsstuderande (UI:164, STAT:20, ROLE: 2) </t>
  </si>
  <si>
    <t xml:space="preserve">Nybörjarplatser *** (UI:165, STAT:21, ROLE: 2) </t>
  </si>
  <si>
    <t xml:space="preserve">Totalkostnader x 1000 € *** (UI:166, STAT:22, ROLE: 2) </t>
  </si>
  <si>
    <t xml:space="preserve">Personalutgifter x 1000 € (UI:304, STAT:396, ROLE: 2) </t>
  </si>
  <si>
    <t xml:space="preserve">A.1.3 Biblioteket betjänar flera samfund (X/-) (UI:143, STAT:397, ROLE: 4) </t>
  </si>
  <si>
    <t xml:space="preserve">B Samlingar (UI:2) </t>
  </si>
  <si>
    <t xml:space="preserve">B.1 Samlingar (enheter eller titlar) (UI:604, ROLE: 5) </t>
  </si>
  <si>
    <t xml:space="preserve">B.1.1 Böcker (UI:8) </t>
  </si>
  <si>
    <t xml:space="preserve">Elektroniska böcker (UI:518) </t>
  </si>
  <si>
    <t xml:space="preserve">Lokal användning, enheter (- 2012) (UI:208, STAT:133, ROLE: 2) </t>
  </si>
  <si>
    <t xml:space="preserve">Ljudböcker (UI:524) </t>
  </si>
  <si>
    <t xml:space="preserve">I nätet, titlar (UI:467, STAT:139, ROLE: 2) </t>
  </si>
  <si>
    <t xml:space="preserve">Manuskript, hyllmetrar (UI:631, STAT:50, ROLE: 2) </t>
  </si>
  <si>
    <t xml:space="preserve">B.1.2 Periodika (UI:9) </t>
  </si>
  <si>
    <t xml:space="preserve">Elektroniska periodika (UI:539) </t>
  </si>
  <si>
    <t xml:space="preserve">B.1.3 Kartor (UI:12) </t>
  </si>
  <si>
    <t xml:space="preserve">Elektroniska kartor (2014 -) (UI:552) </t>
  </si>
  <si>
    <t xml:space="preserve">Elektroniska kartor i nätet, titlar (2014 -) (UI:554, STAT:1045, ROLE: 2) </t>
  </si>
  <si>
    <t xml:space="preserve">Mikroform kartor (2013 -) (UI:556, STAT:1047, ROLE: 2) </t>
  </si>
  <si>
    <t xml:space="preserve">Kartmanuskripter (2014 -) *** (UI:557, STAT:1048, ROLE: 2) </t>
  </si>
  <si>
    <t xml:space="preserve">B.1.4 Musikmaterial (UI:13) </t>
  </si>
  <si>
    <t xml:space="preserve">Musikmanuskripter *** (UI:618, STAT:1083, ROLE: 2) </t>
  </si>
  <si>
    <t xml:space="preserve">B.1.5 Audiovisuella material (UI:14) </t>
  </si>
  <si>
    <t xml:space="preserve">Fysiskt material (UI:621) </t>
  </si>
  <si>
    <t xml:space="preserve">Elektroniska material (UI:622) </t>
  </si>
  <si>
    <t xml:space="preserve">I nätet (UI:623) </t>
  </si>
  <si>
    <t xml:space="preserve">ljudböcker (UI:628, STAT:139, ROLE: 2) </t>
  </si>
  <si>
    <t xml:space="preserve">visuella (UI:468, STAT:140, ROLE: 2) </t>
  </si>
  <si>
    <t xml:space="preserve">övriga audiovisuella, i nätet (UI:469, STAT:141, ROLE: 2) </t>
  </si>
  <si>
    <t xml:space="preserve">Lokal användning (UI:624) </t>
  </si>
  <si>
    <t xml:space="preserve">B.1.6 Patentpublikationer (UI:16) </t>
  </si>
  <si>
    <t xml:space="preserve">Tryckta (UI:73) </t>
  </si>
  <si>
    <t xml:space="preserve">Elektroniska (UI:616) </t>
  </si>
  <si>
    <t xml:space="preserve">elektroniska patentpublikationer i nätet (UI:387, STAT:136, ROLE: 2) </t>
  </si>
  <si>
    <t xml:space="preserve">Lokal användning (UI:615, STAT:1081, ROLE: 2) </t>
  </si>
  <si>
    <t xml:space="preserve">Elektroniska patenter sammanlagt (UI:620, STAT:1085, ROLE: 8) </t>
  </si>
  <si>
    <t xml:space="preserve">Mikroform (UI:617, STAT:1082, ROLE: 2) </t>
  </si>
  <si>
    <t xml:space="preserve">B.1.7 Arkivmaterial (UI:17) </t>
  </si>
  <si>
    <t xml:space="preserve">fysiska arkiv (UI:76) </t>
  </si>
  <si>
    <t xml:space="preserve">elektroniska arkiv (UI:142) </t>
  </si>
  <si>
    <t xml:space="preserve">arkivbildare (UI:341, STAT:472, ROLE: 2) </t>
  </si>
  <si>
    <t xml:space="preserve">materialets storelek, Gb (UI:303, STAT:395, ROLE: 3) </t>
  </si>
  <si>
    <t xml:space="preserve">B.1.8 Övrigt material (UI:18) </t>
  </si>
  <si>
    <t xml:space="preserve">Fysiska samlingar (UI:85) </t>
  </si>
  <si>
    <t xml:space="preserve">Föremål (UI:614, STAT:1080, ROLE: 2) </t>
  </si>
  <si>
    <t xml:space="preserve">hyllmetrar (UI:205, STAT:125, ROLE: 2) </t>
  </si>
  <si>
    <t xml:space="preserve">Elektroniska material (UI:612) </t>
  </si>
  <si>
    <t xml:space="preserve">Databaser (UI:20) </t>
  </si>
  <si>
    <t xml:space="preserve">lokal anv, enheter (UI:391, STAT:153, ROLE: 2) </t>
  </si>
  <si>
    <t xml:space="preserve">Dataprogram (UI:610, STAT:1113, ROLE: 2) </t>
  </si>
  <si>
    <t xml:space="preserve">Numerisk data (UI:611, STAT:1114, ROLE: 2) </t>
  </si>
  <si>
    <t xml:space="preserve">Odefinierade (UI:613, STAT:1098, ROLE: 2) </t>
  </si>
  <si>
    <t xml:space="preserve">B.1.9 Högskolebibliotekens nationella tjänster (UI:352) </t>
  </si>
  <si>
    <t xml:space="preserve">B.1.9.1 Högskolebibliotekens totala antal poster i Finnaindexet (UI:682, STAT:1116, ROLE: 2) </t>
  </si>
  <si>
    <t xml:space="preserve">B.1.9.2 Finländska webbarkivet (UI:683, STAT:643, ROLE: 2) </t>
  </si>
  <si>
    <t xml:space="preserve">B.1.10 Ospecifierad material (UI:640) </t>
  </si>
  <si>
    <t xml:space="preserve">B.2 Samlingar, titlar (UI:605, ROLE: 5) </t>
  </si>
  <si>
    <t xml:space="preserve">B.2.1 Böcker (UI:606) </t>
  </si>
  <si>
    <t xml:space="preserve">Elektroniska böcker, titlar (UI:530) </t>
  </si>
  <si>
    <t xml:space="preserve">Ljudböcker, titlar (UI:532) </t>
  </si>
  <si>
    <t xml:space="preserve">Ljudböcker, nät, titlar (UI:534, STAT:139, ROLE: 2) </t>
  </si>
  <si>
    <t xml:space="preserve">B.2.2 Periodika (UI:607) </t>
  </si>
  <si>
    <t xml:space="preserve">Elektronisk periodika, titlar (UI:545) </t>
  </si>
  <si>
    <t xml:space="preserve">B.2.3 Kartor (UI:646) </t>
  </si>
  <si>
    <t xml:space="preserve">B.2.4 Musikmaterial (UI:647) </t>
  </si>
  <si>
    <t xml:space="preserve">B.2.5 Audiovisuella material, i nätet titlar (UI:648) </t>
  </si>
  <si>
    <t xml:space="preserve">Ljudböcker, titlar (UI:654, STAT:139, ROLE: 2) </t>
  </si>
  <si>
    <t xml:space="preserve">Visuella, titlar (UI:655, STAT:140, ROLE: 2) </t>
  </si>
  <si>
    <t xml:space="preserve">Övriga audiovisuella, titlar (UI:656, STAT:141, ROLE: 2) </t>
  </si>
  <si>
    <t xml:space="preserve">B.2.6 Patentpublikationer (UI:649) </t>
  </si>
  <si>
    <t xml:space="preserve">Elektroniska patentpublikationer i nätet, titlar (UI:658, STAT:136, ROLE: 2) </t>
  </si>
  <si>
    <t xml:space="preserve">Lokal användning, titlar (UI:659, STAT:1081, ROLE: 2) </t>
  </si>
  <si>
    <t xml:space="preserve">Elektroniska patentpublikationer sammanlagt, titlar (UI:660, STAT:1085, ROLE: 8) </t>
  </si>
  <si>
    <t xml:space="preserve">B.2.7 Arkivmaterial (Antalet titlar räknas inte) (UI:650) </t>
  </si>
  <si>
    <t xml:space="preserve">B.2.8 Övrigt material (UI:651) </t>
  </si>
  <si>
    <t xml:space="preserve">B.3 Inkommande periodika (UI:21, ROLE: 5) </t>
  </si>
  <si>
    <t xml:space="preserve">B.3.1 Tryckta och mikrofilmade periodika (UI:88) </t>
  </si>
  <si>
    <t xml:space="preserve">varav inköpta (UI:397, STAT:167, ROLE: 2) </t>
  </si>
  <si>
    <t xml:space="preserve">B.3.2 Elektronisk periodika (UI:89) </t>
  </si>
  <si>
    <t xml:space="preserve">B.3.3 Periodika sammanlagt (UI:90) </t>
  </si>
  <si>
    <t xml:space="preserve">B.4 Katalogisering (UI:22, ROLE: 5) </t>
  </si>
  <si>
    <t xml:space="preserve">odefinierade (UI:441, STAT:455, ROLE: 2) </t>
  </si>
  <si>
    <t xml:space="preserve">primärkatalogisering (UI:225, STAT:179, ROLE: 2) </t>
  </si>
  <si>
    <t xml:space="preserve">nykatalogisering (UI:442, STAT:456, ROLE: 2) </t>
  </si>
  <si>
    <t xml:space="preserve">konverteringskatalogisering (UI:443, STAT:457, ROLE: 2) </t>
  </si>
  <si>
    <t xml:space="preserve">odefinierade (UI:444, STAT:458, ROLE: 2) </t>
  </si>
  <si>
    <t xml:space="preserve">B.4.3 Katalogisering i andra databaser (UI:93) </t>
  </si>
  <si>
    <t xml:space="preserve">B.5 Förvärv (UI:563, ROLE: 5) </t>
  </si>
  <si>
    <t xml:space="preserve">B.5.1 Förvärv, enheter (UI:590) </t>
  </si>
  <si>
    <t xml:space="preserve">Förvärv av böcker (UI:565) </t>
  </si>
  <si>
    <t xml:space="preserve">Förvärv, tryckta (UI:50) </t>
  </si>
  <si>
    <t xml:space="preserve">Förvärv av elektroniska böcker (UI:643) </t>
  </si>
  <si>
    <t xml:space="preserve">Enheter (UI:644, STAT:1096, ROLE: 2) </t>
  </si>
  <si>
    <t xml:space="preserve">varav inköpta *** (UI:645, STAT:1097, ROLE: 2) </t>
  </si>
  <si>
    <t xml:space="preserve">varav inköpta (UI:584, STAT:1068, ROLE: 2) </t>
  </si>
  <si>
    <t xml:space="preserve">Förvärv av ljudböcker och inspelningar (UI:570) </t>
  </si>
  <si>
    <t xml:space="preserve">Förvärv av manuskript (UI:56) </t>
  </si>
  <si>
    <t xml:space="preserve">hyllmetrar (UI:178, STAT:53, ROLE: 2) </t>
  </si>
  <si>
    <t xml:space="preserve">Förvärv av periodika (UI:53) </t>
  </si>
  <si>
    <t xml:space="preserve">varav inköpta (UI:370, STAT:44, ROLE: 2) </t>
  </si>
  <si>
    <t xml:space="preserve">Mikrofilmade, enheter (2013-) (UI:576, STAT:1052, ROLE: 2) </t>
  </si>
  <si>
    <t xml:space="preserve">varav inköpta (UI:585, STAT:1071, ROLE: 2) </t>
  </si>
  <si>
    <t xml:space="preserve">Förvärv av kartor (UI:62) </t>
  </si>
  <si>
    <t xml:space="preserve">varav inköpta (UI:373, STAT:71, ROLE: 2) </t>
  </si>
  <si>
    <t xml:space="preserve">Mikrofilmade, enheter (2013 -) (UI:582, STAT:1069, ROLE: 2) </t>
  </si>
  <si>
    <t xml:space="preserve">varav inköpta (UI:583, STAT:1070, ROLE: 2) </t>
  </si>
  <si>
    <t xml:space="preserve">Förvärv av musikmaterial (UI:65) </t>
  </si>
  <si>
    <t xml:space="preserve">varav inköpta (UI:374, STAT:80, ROLE: 2) </t>
  </si>
  <si>
    <t xml:space="preserve">Förvärv av visuella material (UI:68) </t>
  </si>
  <si>
    <t xml:space="preserve">Visuella (UI:381, STAT:94, ROLE: 2) </t>
  </si>
  <si>
    <t xml:space="preserve">Odefinierade (UI:440, STAT:453, ROLE: 2) </t>
  </si>
  <si>
    <t xml:space="preserve">inköpta, enheter (2013 -) (UI:577, STAT:1050, ROLE: 2) </t>
  </si>
  <si>
    <t xml:space="preserve">inköpta, enheter (UI:383, STAT:96, ROLE: 2) </t>
  </si>
  <si>
    <t xml:space="preserve">Förvärv av grafisk material (UI:71) </t>
  </si>
  <si>
    <t xml:space="preserve">varav inköpta (UI:384, STAT:103, ROLE: 2) </t>
  </si>
  <si>
    <t xml:space="preserve">Förvärv av patenter (UI:74) </t>
  </si>
  <si>
    <t xml:space="preserve">Enheter *** (UI:197, STAT:110, ROLE: 2) </t>
  </si>
  <si>
    <t xml:space="preserve">Förvärv av arkivmaterial (UI:77) </t>
  </si>
  <si>
    <t xml:space="preserve">Tryckta (UI:579) </t>
  </si>
  <si>
    <t xml:space="preserve">Enheter (UI:298, STAT:389, ROLE: 3) </t>
  </si>
  <si>
    <t xml:space="preserve">Hyllmetrar (UI:202, STAT:119, ROLE: 3) </t>
  </si>
  <si>
    <t xml:space="preserve">Förvärv av annat material (UI:80) </t>
  </si>
  <si>
    <t xml:space="preserve">varav inköpta (UI:385, STAT:128, ROLE: 2) </t>
  </si>
  <si>
    <t xml:space="preserve">Hyllmetrar (UI:206, STAT:127, ROLE: 2) </t>
  </si>
  <si>
    <t xml:space="preserve">enheter (UI:182, STAT:62, ROLE: 2) </t>
  </si>
  <si>
    <t xml:space="preserve">varav inköpta (UI:372, STAT:63, ROLE: 2) </t>
  </si>
  <si>
    <t xml:space="preserve">B.5.2 Förvärv, titlar (UI:591) </t>
  </si>
  <si>
    <t xml:space="preserve">Förvärv av böcker (UI:592) </t>
  </si>
  <si>
    <t xml:space="preserve">Förvärv av elektroniska böcker (2014 -) (UI:566) </t>
  </si>
  <si>
    <t xml:space="preserve">Lokalanvändning (UI:567, STAT:1103, ROLE: 2) </t>
  </si>
  <si>
    <t xml:space="preserve">I nätet (UI:568, STAT:1104, ROLE: 2) </t>
  </si>
  <si>
    <t xml:space="preserve">Förvärv av mikrofilmade böcker (2013 -) (UI:594, STAT:1076, ROLE: 2) </t>
  </si>
  <si>
    <t xml:space="preserve">Förvärv av ljudböcker och inspelningar (UI:680) </t>
  </si>
  <si>
    <t xml:space="preserve">I nätet (2014 -) (UI:571, STAT:1105, ROLE: 2) </t>
  </si>
  <si>
    <t xml:space="preserve">Förvärv av periodika (UI:593) </t>
  </si>
  <si>
    <t xml:space="preserve">Elektroniska, titlar ( 2014 -) (UI:572) </t>
  </si>
  <si>
    <t xml:space="preserve">Lokalanvändning (UI:573, STAT:1106, ROLE: 2) </t>
  </si>
  <si>
    <t xml:space="preserve">I nätet (UI:574, STAT:1107, ROLE: 2) </t>
  </si>
  <si>
    <t xml:space="preserve">Sammanlagt (UI:575, STAT:1108, ROLE: 8) </t>
  </si>
  <si>
    <t xml:space="preserve">Mikrofilmade (2013-) (UI:589, STAT:1075, ROLE: 2) </t>
  </si>
  <si>
    <t xml:space="preserve">Förvärv av kartor (UI:595) </t>
  </si>
  <si>
    <t xml:space="preserve">Mikrofilmade kartor (2013-) (UI:596, STAT:1077, ROLE: 2) </t>
  </si>
  <si>
    <t xml:space="preserve">Elektroniska kartor, lokal användning (UI:678, STAT:1110, ROLE: 2) </t>
  </si>
  <si>
    <t xml:space="preserve">Förvärv av patenter (UI:679) </t>
  </si>
  <si>
    <t xml:space="preserve">Elektroniska (2014 -) (UI:578, STAT:1109, ROLE: 2) </t>
  </si>
  <si>
    <t xml:space="preserve">Förvärv av arkivmaterial (UI:681) </t>
  </si>
  <si>
    <t xml:space="preserve">Arkivbildare (UI:201, STAT:118, ROLE: 3) </t>
  </si>
  <si>
    <t xml:space="preserve">Elektroniska (Gb) (2013 -) (UI:580, STAT:1079, ROLE: 2) </t>
  </si>
  <si>
    <t xml:space="preserve">Förvärv av databaser (UI:86) </t>
  </si>
  <si>
    <t xml:space="preserve">Digitala lagringar, enheter (UI:393, STAT:157, ROLE: 2) </t>
  </si>
  <si>
    <t xml:space="preserve">Databaser i näter/datorer, titlar (UI:394, STAT:158, ROLE: 2) </t>
  </si>
  <si>
    <t xml:space="preserve">Förvärv av annat elektroniskt material (UI:83) </t>
  </si>
  <si>
    <t xml:space="preserve">Digitalt material, enheter (UI:210, STAT:144, ROLE: 2) </t>
  </si>
  <si>
    <t xml:space="preserve">varav inköpta (UI:390, STAT:146, ROLE: 2) </t>
  </si>
  <si>
    <t xml:space="preserve">Finländska webbarkivet (UI:353, STAT:644, ROLE: 2) </t>
  </si>
  <si>
    <t xml:space="preserve">C Biblioteksanvändning och -användare (UI:3) </t>
  </si>
  <si>
    <t xml:space="preserve">C.1 Användare (UI:23, ROLE: 5) </t>
  </si>
  <si>
    <t xml:space="preserve">C.1.1 Nya kunder (UI:94, STAT:187, ROLE: 8) </t>
  </si>
  <si>
    <t xml:space="preserve">Egen personal (yhs) (UI:599, STAT:1067, ROLE: 2) </t>
  </si>
  <si>
    <t xml:space="preserve">Egen personal (univ) (UI:306, STAT:419, ROLE: 2) </t>
  </si>
  <si>
    <t xml:space="preserve">Personal inom den egna organisationen (UI:307, STAT:420, ROLE: 2) </t>
  </si>
  <si>
    <t xml:space="preserve">Personal vid andra graden (UI:669, STAT:1065, ROLE: 2) </t>
  </si>
  <si>
    <t xml:space="preserve">Personal vid annan yrkeshögskola (UI:311, STAT:424, ROLE: 2) </t>
  </si>
  <si>
    <t xml:space="preserve">Personal vid annat universitet (UI:310, STAT:423, ROLE: 2) </t>
  </si>
  <si>
    <t xml:space="preserve">Egna studerande (yhs) (UI:598, STAT:1066, ROLE: 2) </t>
  </si>
  <si>
    <t xml:space="preserve">Egna studerande (univ) (UI:305, STAT:418, ROLE: 2) </t>
  </si>
  <si>
    <t xml:space="preserve">Studerande vid andra graden (UI:671, STAT:1064, ROLE: 2) </t>
  </si>
  <si>
    <t xml:space="preserve">Studernade vid annan yrkeshögskola (UI:309, STAT:422, ROLE: 2) </t>
  </si>
  <si>
    <t xml:space="preserve">Studernade vid annat universitet (UI:308, STAT:421, ROLE: 2) </t>
  </si>
  <si>
    <t xml:space="preserve">Studernade eller personal vid yhs (UI:312, STAT:425, ROLE: 2) </t>
  </si>
  <si>
    <t xml:space="preserve">Studerande eller personal vid universitet (UI:313, STAT:426, ROLE: 2) </t>
  </si>
  <si>
    <t xml:space="preserve">Studerande eller personal vid annan läroinrättning (UI:314, STAT:427, ROLE: 2) </t>
  </si>
  <si>
    <t xml:space="preserve">Studerande eller forskare vid annan organisation (UI:316, STAT:429, ROLE: 2) </t>
  </si>
  <si>
    <t xml:space="preserve">Representant för näringslivet (UI:317, STAT:430, ROLE: 2) </t>
  </si>
  <si>
    <t xml:space="preserve">Representant för offentlig förvaltning (UI:315, STAT:428, ROLE: 2) </t>
  </si>
  <si>
    <t xml:space="preserve">Inhemsk fjärrlånekund (UI:318, STAT:431, ROLE: 2) </t>
  </si>
  <si>
    <t xml:space="preserve">Utländsk fjärrlånekund (UI:319, STAT:432, ROLE: 2) </t>
  </si>
  <si>
    <t xml:space="preserve">Övriga (UI:320, STAT:433, ROLE: 2) </t>
  </si>
  <si>
    <t xml:space="preserve">C.1.2 Aktiva låntagare *** (UI:95, STAT:188, ROLE: 8) </t>
  </si>
  <si>
    <t xml:space="preserve">Egen personal (yhs) (UI:602, STAT:1062, ROLE: 2) </t>
  </si>
  <si>
    <t xml:space="preserve">Egen personal (univ) *** (UI:322, STAT:435, ROLE: 2) </t>
  </si>
  <si>
    <t xml:space="preserve">Personal inom den egna organisationen *** (UI:323, STAT:436, ROLE: 2) </t>
  </si>
  <si>
    <t xml:space="preserve">Personal vid andra graden (UI:672, STAT:1060, ROLE: 2) </t>
  </si>
  <si>
    <t xml:space="preserve">Personal vid annan yrkeshögskola (UI:327, STAT:440, ROLE: 2) </t>
  </si>
  <si>
    <t xml:space="preserve">Personal vid annat universitet (UI:326, STAT:439, ROLE: 2) </t>
  </si>
  <si>
    <t xml:space="preserve">Egna studerande (yhs) *** (UI:603, STAT:1061, ROLE: 2) </t>
  </si>
  <si>
    <t xml:space="preserve">Egna studerande (univ) *** (UI:321, STAT:434, ROLE: 2) </t>
  </si>
  <si>
    <t xml:space="preserve">Studerande vid andra graden (UI:673, STAT:1059, ROLE: 2) </t>
  </si>
  <si>
    <t xml:space="preserve">Studerande vid annan yrkeshögskola (UI:325, STAT:438, ROLE: 2) </t>
  </si>
  <si>
    <t xml:space="preserve">Studerande vid annat universitet (UI:324, STAT:437, ROLE: 2) </t>
  </si>
  <si>
    <t xml:space="preserve">Studernade eller personal vid yhs (UI:328, STAT:441, ROLE: 2) </t>
  </si>
  <si>
    <t xml:space="preserve">Studerande eller personal vid universitet (UI:329, STAT:442, ROLE: 2) </t>
  </si>
  <si>
    <t xml:space="preserve">Studerande eller personal vid annan läroinrättning (UI:330, STAT:443, ROLE: 2) </t>
  </si>
  <si>
    <t xml:space="preserve">Studerande eller forskare vid annan organisation (UI:332, STAT:445, ROLE: 2) </t>
  </si>
  <si>
    <t xml:space="preserve">Representant för näringslivet (UI:333, STAT:446, ROLE: 2) </t>
  </si>
  <si>
    <t xml:space="preserve">Representant för offentlig förvaltning (UI:331, STAT:444, ROLE: 2) </t>
  </si>
  <si>
    <t xml:space="preserve">Inhemsk fjärrlånekund (UI:334, STAT:447, ROLE: 2) </t>
  </si>
  <si>
    <t xml:space="preserve">Utländsk fjärrlånekund (UI:335, STAT:448, ROLE: 2) </t>
  </si>
  <si>
    <t xml:space="preserve">Övriga (UI:336, STAT:449, ROLE: 2) </t>
  </si>
  <si>
    <t xml:space="preserve">C.1.3 Registrerade låntagare (UI:96, STAT:189, ROLE: 8) </t>
  </si>
  <si>
    <t xml:space="preserve">Egen personal (yhs) (UI:601, STAT:1057, ROLE: 2) </t>
  </si>
  <si>
    <t xml:space="preserve">Egen personal (univ) (UI:229, STAT:192, ROLE: 2) </t>
  </si>
  <si>
    <t xml:space="preserve">Personal inom den egna organisationen (UI:242, STAT:215, ROLE: 2) </t>
  </si>
  <si>
    <t xml:space="preserve">Personal vid andra graden (UI:675, STAT:1055, ROLE: 2) </t>
  </si>
  <si>
    <t xml:space="preserve">Personal vid annan yrkeshögskola (UI:240, STAT:206, ROLE: 2) </t>
  </si>
  <si>
    <t xml:space="preserve">Personal vid annat universitet (UI:231, STAT:194, ROLE: 2) </t>
  </si>
  <si>
    <t xml:space="preserve">Egna studerande (yhs) (UI:600, STAT:1056, ROLE: 2) </t>
  </si>
  <si>
    <t xml:space="preserve">Egna studerande (univ) (UI:228, STAT:191, ROLE: 2) </t>
  </si>
  <si>
    <t xml:space="preserve">Studerande vid andra graden (UI:676, STAT:1054, ROLE: 2) </t>
  </si>
  <si>
    <t xml:space="preserve">Studerande vid annan yrkeshögskola (UI:239, STAT:205, ROLE: 2) </t>
  </si>
  <si>
    <t xml:space="preserve">Studerande vid annat universitet (UI:230, STAT:193, ROLE: 2) </t>
  </si>
  <si>
    <t xml:space="preserve">Studernade eller personal vid yhs (UI:232, STAT:195, ROLE: 2) </t>
  </si>
  <si>
    <t xml:space="preserve">Studerande eller personal vid universitet (UI:241, STAT:207, ROLE: 2) </t>
  </si>
  <si>
    <t xml:space="preserve">Studerande eller personal vid annan läroinrättning (UI:233, STAT:196, ROLE: 2) </t>
  </si>
  <si>
    <t xml:space="preserve">Studerande eller forskare vid annan organisation (UI:338, STAT:451, ROLE: 2) </t>
  </si>
  <si>
    <t xml:space="preserve">Representant för näringslivet (UI:235, STAT:198, ROLE: 2) </t>
  </si>
  <si>
    <t xml:space="preserve">Representant för offentlig förvaltning (UI:234, STAT:197, ROLE: 2) </t>
  </si>
  <si>
    <t xml:space="preserve">Inhemsk fjärrlånekund (UI:236, STAT:199, ROLE: 2) </t>
  </si>
  <si>
    <t xml:space="preserve">Utländsk fjärrlånekund (UI:237, STAT:200, ROLE: 2) </t>
  </si>
  <si>
    <t xml:space="preserve">Övriga (UI:238, STAT:201, ROLE: 2) </t>
  </si>
  <si>
    <t xml:space="preserve">C.2 Lån (UI:24, ROLE: 5) </t>
  </si>
  <si>
    <t xml:space="preserve">C.2.1 Hemlån (UI:97) </t>
  </si>
  <si>
    <t xml:space="preserve">automatiska förnyelser (UI:438, STAT:416, ROLE: 2) </t>
  </si>
  <si>
    <t xml:space="preserve">C.3 Informationssökning, uppdrag (UI:25, ROLE: 5) </t>
  </si>
  <si>
    <t xml:space="preserve">Avgiftsbelagda (UI:245, STAT:232, ROLE: 2) </t>
  </si>
  <si>
    <t xml:space="preserve">C.4 Fjärrlån i hemlandet (UI:26, ROLE: 5) </t>
  </si>
  <si>
    <t xml:space="preserve">Beviljade lån (UI:248) </t>
  </si>
  <si>
    <t xml:space="preserve">Erhållna lån (UI:250) </t>
  </si>
  <si>
    <t xml:space="preserve">C.5 Internationella fjärrlån (UI:27, ROLE: 5) </t>
  </si>
  <si>
    <t xml:space="preserve">Beviljade lån (UI:252) </t>
  </si>
  <si>
    <t xml:space="preserve">Erhållna lån (UI:254) </t>
  </si>
  <si>
    <t xml:space="preserve">C.6 Elektronisk dokumentleverans (UI:28, ROLE: 5) </t>
  </si>
  <si>
    <t xml:space="preserve">C.6.1 Totalmängd (UI:104, STAT:257, ROLE: 8) </t>
  </si>
  <si>
    <t xml:space="preserve">Avgiftsbelagda (UI:255, STAT:258, ROLE: 2) </t>
  </si>
  <si>
    <t xml:space="preserve">Avgiftsfria (UI:256, STAT:259, ROLE: 3) </t>
  </si>
  <si>
    <t xml:space="preserve">C.7 Evenemangsom biblioteket arrangerat (UI:29, ROLE: 5) </t>
  </si>
  <si>
    <t xml:space="preserve">C.8 Bibliotekets publikationsverksamhet (UI:30, ROLE: 5) </t>
  </si>
  <si>
    <t xml:space="preserve">C.8.3 Redigerade publikationer för ramorganisationen (UI:109, STAT:270, ROLE: 8) </t>
  </si>
  <si>
    <t xml:space="preserve">Tryckta (UI:261, STAT:271, ROLE: 2) </t>
  </si>
  <si>
    <t xml:space="preserve">Elektroniska (UI:262, STAT:272, ROLE: 2) </t>
  </si>
  <si>
    <t xml:space="preserve">C.9 Elektroniska tjänster (UI:31, ROLE: 5) </t>
  </si>
  <si>
    <t xml:space="preserve">C.9.1 Samlingsdatabasen (onlinekatalog) (UI:110) </t>
  </si>
  <si>
    <t xml:space="preserve">C.9.1.1 Granskade poster (UI:263, STAT:276, ROLE: 2) </t>
  </si>
  <si>
    <t xml:space="preserve">C.9.1.2 Antal infomationssökningar (UI:264, STAT:277, ROLE: 2) </t>
  </si>
  <si>
    <t xml:space="preserve">C.9.1.3 Antal kontakter (2013 -) (UI:581, STAT:1095, ROLE: 2) </t>
  </si>
  <si>
    <t xml:space="preserve">C.9.2 Gemensam informationssökningstjänst (Finna) (UI:684) </t>
  </si>
  <si>
    <t xml:space="preserve">C.9.3 Bibliografiska databaser (UI:111) </t>
  </si>
  <si>
    <t xml:space="preserve">C.9.3.1 Granskade poster, varav *** (UI:357, STAT:649, ROLE: 8) </t>
  </si>
  <si>
    <t xml:space="preserve">FinELib-material (2010-&gt;) (UI:456, STAT:650, ROLE: 7) </t>
  </si>
  <si>
    <t xml:space="preserve">Annat material (allt material -&gt;2009) (UI:411, STAT:280, ROLE: 2) </t>
  </si>
  <si>
    <t xml:space="preserve">C.9.3.2 Antal infomationssökningar, varav (UI:358, STAT:651, ROLE: 8) </t>
  </si>
  <si>
    <t xml:space="preserve">FinELib-material (2010-&gt;) (UI:457, STAT:652, ROLE: 7) </t>
  </si>
  <si>
    <t xml:space="preserve">Annat material (allt material -&gt;2009) (UI:412, STAT:281, ROLE: 2) </t>
  </si>
  <si>
    <t xml:space="preserve">C.9.4 Uppslagsverkdatabaser (UI:146) </t>
  </si>
  <si>
    <t xml:space="preserve">C.9.4.1 Sökta dokument eller poster, varav *** (UI:359, STAT:653, ROLE: 8) </t>
  </si>
  <si>
    <t xml:space="preserve">FinELib-material (2010-&gt;) (UI:458, STAT:654, ROLE: 7) </t>
  </si>
  <si>
    <t xml:space="preserve">Övrigt material (allt material -&gt;2009) (UI:450, STAT:480, ROLE: 2) </t>
  </si>
  <si>
    <t xml:space="preserve">C.9.4.2 Antal infomationssökningar, varav (UI:360, STAT:655, ROLE: 8) </t>
  </si>
  <si>
    <t xml:space="preserve">FinELib-material (2010-&gt;) (UI:459, STAT:656, ROLE: 7) </t>
  </si>
  <si>
    <t xml:space="preserve">Annat material (allt material -&gt;2009) (UI:451, STAT:481, ROLE: 2) </t>
  </si>
  <si>
    <t xml:space="preserve">C.9.5 Ordboksdatabaser (UI:153) </t>
  </si>
  <si>
    <t xml:space="preserve">C.9.5.1 Sökta dokument eller poster, varav *** (UI:361, STAT:657, ROLE: 8) </t>
  </si>
  <si>
    <t xml:space="preserve">FinELib-material (2010-&gt;) (UI:460, STAT:658, ROLE: 7) </t>
  </si>
  <si>
    <t xml:space="preserve">Annat material (allt material -&gt;2009) (UI:454, STAT:636, ROLE: 2) </t>
  </si>
  <si>
    <t xml:space="preserve">C.9.5.2 Antal infomationssökningar, varav (UI:362, STAT:659, ROLE: 8) </t>
  </si>
  <si>
    <t xml:space="preserve">FinELib-material (2010-&gt;) (UI:461, STAT:660, ROLE: 7) </t>
  </si>
  <si>
    <t xml:space="preserve">Annat material (allt material -&gt;2009) (UI:455, STAT:637, ROLE: 2) </t>
  </si>
  <si>
    <t xml:space="preserve">C.9.6 Elektronisk periodika (UI:112) </t>
  </si>
  <si>
    <t xml:space="preserve">C.9.6.1 Granskade dokument, varav *** (UI:363, STAT:661, ROLE: 8) </t>
  </si>
  <si>
    <t xml:space="preserve">FinELib-material (2010-&gt;) (UI:462, STAT:662, ROLE: 7) </t>
  </si>
  <si>
    <t xml:space="preserve">Annat material (allt material -&gt;2009) (UI:413, STAT:284, ROLE: 2) </t>
  </si>
  <si>
    <t xml:space="preserve">C.9.7 E-bokdatabaser (UI:152) </t>
  </si>
  <si>
    <t xml:space="preserve">C.9.7.1 Granskade dokument, varav *** (UI:364, STAT:663, ROLE: 8) </t>
  </si>
  <si>
    <t xml:space="preserve">FinELib-material (2010-&gt;) (UI:463, STAT:664, ROLE: 7) </t>
  </si>
  <si>
    <t xml:space="preserve">Annat material (allt material -&gt;2009) (UI:453, STAT:631, ROLE: 2) </t>
  </si>
  <si>
    <t xml:space="preserve">C.9.8 Andra digitala dokument (UI:113) </t>
  </si>
  <si>
    <t xml:space="preserve">C.9.8.1 Granskade dokument, varav *** (UI:366, STAT:667, ROLE: 8) </t>
  </si>
  <si>
    <t xml:space="preserve">FinELib-material (2010-&gt;) (UI:465, STAT:668, ROLE: 7) </t>
  </si>
  <si>
    <t xml:space="preserve">Annat material (allt material -&gt;2009) (UI:415, STAT:288, ROLE: 2) </t>
  </si>
  <si>
    <t xml:space="preserve">C.9.8.2 Antal kontakter, varav (UI:365, STAT:665, ROLE: 8) </t>
  </si>
  <si>
    <t xml:space="preserve">FinELib-material (2010-&gt;) (UI:464, STAT:666, ROLE: 7) </t>
  </si>
  <si>
    <t xml:space="preserve">Annat material (allt material -&gt;2009) (UI:414, STAT:287, ROLE: 2) </t>
  </si>
  <si>
    <t xml:space="preserve">C.10 Biblioteksbesök (UI:32, ROLE: 5) </t>
  </si>
  <si>
    <t xml:space="preserve">C.11 Användarutbildning (UI:33, ROLE: 5) </t>
  </si>
  <si>
    <t xml:space="preserve">C.11.1 Undervisning i biblioteksanvändning (UI:116) </t>
  </si>
  <si>
    <t xml:space="preserve">C.11.2 Antal sp för avlagda kurser (UI:117, STAT:298, ROLE: 2) </t>
  </si>
  <si>
    <t xml:space="preserve">C.11.3 Antal sp för erbjudna nätkurser (UI:118, STAT:299, ROLE: 2) </t>
  </si>
  <si>
    <t xml:space="preserve">C.11.4 Antal som avlagt nätkurser (UI:119, STAT:300, ROLE: 2) </t>
  </si>
  <si>
    <t xml:space="preserve">D Öppethållningstider och utrymmen (UI:4) </t>
  </si>
  <si>
    <t xml:space="preserve">D.1 Antal öppethållningstimmar (UI:34, STAT:302, ROLE: 5) </t>
  </si>
  <si>
    <t xml:space="preserve">Servicepunkter (UI:269, STAT:305, ROLE: 8) </t>
  </si>
  <si>
    <t xml:space="preserve">D.2 Öppethållningsdagar (UI:35, ROLE: 5) </t>
  </si>
  <si>
    <t xml:space="preserve">Servicepunkter sammanlagt (UI:271, STAT:309, ROLE: 2) </t>
  </si>
  <si>
    <t xml:space="preserve">D.3 Kundplatser (UI:36, ROLE: 5) </t>
  </si>
  <si>
    <t xml:space="preserve">D.4 Arbetsstationer (UI:37, ROLE: 5) </t>
  </si>
  <si>
    <t xml:space="preserve">D.5 Bibliotekets utrymmen (UI:38, ROLE: 5) </t>
  </si>
  <si>
    <t xml:space="preserve">D.5.1 utrymmen i bibliotekets användning (UI:127) </t>
  </si>
  <si>
    <t xml:space="preserve">D.5.2 bibliotekbyggnadens totala yta i kvadratmeter (UI:128, STAT:326, ROLE: 2) </t>
  </si>
  <si>
    <t xml:space="preserve">D.5.3 hyllutrymme (UI:129) </t>
  </si>
  <si>
    <t xml:space="preserve">E Ekonomi (UI:5) </t>
  </si>
  <si>
    <t xml:space="preserve">E.1 Verksamhetsutgifter (x 1000 €) (UI:39, STAT:331, ROLE: 5) </t>
  </si>
  <si>
    <t xml:space="preserve">externa digitaliseringstjänster (UI:431, STAT:354, ROLE: 2) </t>
  </si>
  <si>
    <t xml:space="preserve">E.2 Omkostnader för biblioteksmaterial i organistationen (x 1000 €) (UI:45, ROLE: 5) </t>
  </si>
  <si>
    <t xml:space="preserve">E.2.1.3 Elektroniskt material som anskaffats med centraliserad finansiering (UI:344, STAT:490, ROLE: 8) </t>
  </si>
  <si>
    <t xml:space="preserve">E.2.1.3.1 Anskaffningar med finansiering via gemensamma projekt, varav (UI:452, STAT:492, ROLE: 8) </t>
  </si>
  <si>
    <t xml:space="preserve">periodika (UI:478, STAT:497, ROLE: 2) </t>
  </si>
  <si>
    <t xml:space="preserve">kursslitteratur (på nätet) (UI:479, STAT:498, ROLE: 2) </t>
  </si>
  <si>
    <t xml:space="preserve">elektroniska böcker (UI:480, STAT:499, ROLE: 2) </t>
  </si>
  <si>
    <t xml:space="preserve">övrigt elektroniskt material (UI:481, STAT:500, ROLE: 2) </t>
  </si>
  <si>
    <t xml:space="preserve">E.3 Kapitalkostnader (x 1000 €) (UI:41, STAT:361, ROLE: 5) </t>
  </si>
  <si>
    <t xml:space="preserve">E.3.1.1 Byggande (UI:284, STAT:362, ROLE: 2) </t>
  </si>
  <si>
    <t xml:space="preserve">E.3.1.2 Informationssystem (UI:285, STAT:363, ROLE: 2) </t>
  </si>
  <si>
    <t xml:space="preserve">E.4 Bibliotekets finansiering (x 1000 €) (UI:42, ROLE: 5) </t>
  </si>
  <si>
    <t xml:space="preserve">E.5 Ytterligare information (x 1000 €) (UI:46, ROLE: 5) </t>
  </si>
  <si>
    <t xml:space="preserve">E.5.3 Elektroniskt material som anskaffats med centraliserad finansiering från Undervisnings- och kulturministeriet, varav: (UI:150, STAT:601, ROLE: 8) </t>
  </si>
  <si>
    <t xml:space="preserve">Elektroniska periodika (UI:346, STAT:602, ROLE: 2) </t>
  </si>
  <si>
    <t xml:space="preserve">Kursmaterial (på nätet) (UI:347, STAT:603, ROLE: 2) </t>
  </si>
  <si>
    <t xml:space="preserve">Elektroniska böcker (UI:348, STAT:604, ROLE: 2) </t>
  </si>
  <si>
    <t xml:space="preserve">Övrigt elektroniskt material (UI:349, STAT:605, ROLE: 2) </t>
  </si>
  <si>
    <t xml:space="preserve">E.5.4 Elektroniskt material som anskaffats med centraliserad finansiering från Undervisnings- och kulturministeriet *** (UI:151, STAT:606, ROLE: 2) </t>
  </si>
  <si>
    <t xml:space="preserve">F Personal (UI:6) </t>
  </si>
  <si>
    <t xml:space="preserve">F.1 5.1 Bibliotekets personal (UI:43, ROLE: 5) </t>
  </si>
  <si>
    <t xml:space="preserve">F.2 Personalutbildning (UI:44, STAT:384, ROLE: 5) </t>
  </si>
  <si>
    <t xml:space="preserve">F.2.1 Utbildningsdagar sammanlagt (UI:140, STAT:385, ROLE: 2) </t>
  </si>
  <si>
    <t xml:space="preserve">F.2.2 Antal personal som utbildats (UI:141, STAT:386, ROLE: 2) </t>
  </si>
  <si>
    <t xml:space="preserve">G Nyckeltal: Användning av biblioteket (UI:482, ROLE: 5) </t>
  </si>
  <si>
    <t xml:space="preserve">Biblioteksbesök (fysiska och virtuella) / målgrupp (ISO 11620) (UI:488, STAT:1005, ROLE: 8) </t>
  </si>
  <si>
    <t xml:space="preserve">Biblioteksbesök / målgrupp (UI:483, STAT:1000, ROLE: 8) </t>
  </si>
  <si>
    <t xml:space="preserve">Målgruppens aktiva låntagare / alla aktiva låntagare % (UI:487, STAT:1004, ROLE: 8) </t>
  </si>
  <si>
    <t xml:space="preserve">Lån / målgrupp (ISO 11620) (UI:484, STAT:1001, ROLE: 8) </t>
  </si>
  <si>
    <t xml:space="preserve">Totalutlåning / målgrupp (UI:696, STAT:1128, ROLE: 8) </t>
  </si>
  <si>
    <t xml:space="preserve">Lån + elektroniska tjänsters materialladdningar / målgrupp (UI:490, STAT:1007, ROLE: 8) </t>
  </si>
  <si>
    <t xml:space="preserve">H Nyckeltal: Bibliotekets samlingar (UI:491, ROLE: 5) </t>
  </si>
  <si>
    <t xml:space="preserve">Elektronisk periodika (titlar) / målgrupp (UI:493, STAT:1009, ROLE: 8) </t>
  </si>
  <si>
    <t xml:space="preserve">Sökta dokument / elektroniska samlingar på nätet (titlar sammanlagt) -&gt;2012 (UI:497, STAT:1013, ROLE: 8) </t>
  </si>
  <si>
    <t xml:space="preserve">Sökta dokument / elektroniska samlingar på nätet (titlar sammanlagt) 2013-&gt; (UI:667, STAT:1102, ROLE: 8) </t>
  </si>
  <si>
    <t xml:space="preserve">Sökta dokument / miljon poster i Finländska webbarkivet (UI:687, STAT:1120, ROLE: 8) </t>
  </si>
  <si>
    <t xml:space="preserve">Omkostnader för anskaffning av kursmaterial (€) / ramorganisationens inledningsplats (UI:496, STAT:1012, ROLE: 8) </t>
  </si>
  <si>
    <t xml:space="preserve">Inköpta tryckta monografier / målgrupp (UI:492, STAT:1008, ROLE: 8) </t>
  </si>
  <si>
    <t xml:space="preserve">Inköpta elektroniska monografier (enheter eller titlar) / målgrupp (UI:688, STAT:1121, ROLE: 8) </t>
  </si>
  <si>
    <t xml:space="preserve">Inköpta monografier (allt material) / målgrupp (UI:689, STAT:1122, ROLE: 8) </t>
  </si>
  <si>
    <t xml:space="preserve">Inkommande tryckta och mikrofilmade periodika (titlar) / målgrupp (UI:495, STAT:1011, ROLE: 8) </t>
  </si>
  <si>
    <t xml:space="preserve">Inkommande elektroniska periodika (titlar) / målgrupp (UI:692, STAT:1125, ROLE: 8) </t>
  </si>
  <si>
    <t xml:space="preserve">Inkommande periodika (allt material, titlar) / målgrupp (UI:693, STAT:1126, ROLE: 8) </t>
  </si>
  <si>
    <t xml:space="preserve">I Nyckeltal: Bibliotekets resurser (UI:498, ROLE: 5) </t>
  </si>
  <si>
    <t xml:space="preserve">Anskaffningskostnader för elektroniskt material / nedladdade dokument i det elektroniska materialet (Nedladdningens pris €) (UI:511, STAT:1026, ROLE: 8) </t>
  </si>
  <si>
    <t xml:space="preserve">Elektroniskt material som anskaffats med centraliserad finansiering från Undervisnings- och kulturministeriet / nedladdningar av FinELib-material (FinELib-laddningens pris €) (UI:694, STAT:1127, ROLE: 8) </t>
  </si>
  <si>
    <t xml:space="preserve">Omkostnader för biblioteksmaterial (€) / målgrupp (fysisk och digital material) [bibliotekets budget] (UI:510, STAT:1025, ROLE: 8) </t>
  </si>
  <si>
    <t xml:space="preserve">Omkostnader för biblioteksmaterial (allt material, €, totalt i organisation) / målgrupp (UI:509, STAT:1024, ROLE: 8) </t>
  </si>
  <si>
    <t xml:space="preserve">Kostnader för biblioteksmaterial / ramorganisationens totalkostnader % (UI:504, STAT:1019, ROLE: 8) </t>
  </si>
  <si>
    <t xml:space="preserve">Bibliotekets personal (åv) / målgrupp (x 1000) (UI:502, STAT:1017, ROLE: 8) </t>
  </si>
  <si>
    <t xml:space="preserve">Bibliotekets totalkostnader (€) / målgrupp (UI:501, STAT:1016, ROLE: 8) </t>
  </si>
  <si>
    <t xml:space="preserve">Bibliotekets totalkostnader / ramorganisationens totalkostnader % (UI:505, STAT:1020, ROLE: 8) </t>
  </si>
  <si>
    <t xml:space="preserve">Läse- och arbetsplatser / målgrupp (x 1000) (UI:512, STAT:1027, ROLE: 8) </t>
  </si>
  <si>
    <t xml:space="preserve">Bibliotekets läs- och arbetsplatser samt arbetsstationer / egna studeranden (x 1000) (ISO 11620) (UI:508, STAT:1023, ROLE: 8) </t>
  </si>
  <si>
    <t xml:space="preserve">Målgrupp / bibliotekets personal (åv) (UI:500, STAT:1015, ROLE: 8) </t>
  </si>
  <si>
    <t xml:space="preserve">Administrativa enheter (UI:156, STAT:4, ROLE: 2) </t>
  </si>
  <si>
    <t xml:space="preserve">Tryckta böcker, enheter *** (UI:167, STAT:31, ROLE: 2) </t>
  </si>
  <si>
    <t xml:space="preserve">elektroniska böcker, titlar *** (UI:386, STAT:135, ROLE: 2) </t>
  </si>
  <si>
    <t xml:space="preserve">Lokal användning (enheter) (2013 -) (UI:664, STAT:1072, ROLE: 2) </t>
  </si>
  <si>
    <t xml:space="preserve">Elektroniska böcker sammanlagt (UI:521, STAT:1030, ROLE: 8) </t>
  </si>
  <si>
    <t xml:space="preserve">Lokal användning, enheter (UI:376, STAT:87, ROLE: 2) </t>
  </si>
  <si>
    <t xml:space="preserve">Ljudböcker sammanlagt (UI:527, STAT:1032, ROLE: 8) </t>
  </si>
  <si>
    <t xml:space="preserve">Mikroformböcker (2013 -) (UI:523, STAT:1033, ROLE: 2) </t>
  </si>
  <si>
    <t xml:space="preserve">Böcker sammanlagt (UI:522, STAT:1031, ROLE: 8) </t>
  </si>
  <si>
    <t xml:space="preserve">Manuskript (UI:528, STAT:51, ROLE: 2) </t>
  </si>
  <si>
    <t xml:space="preserve">Tryckta periodika, enheter *** (UI:171, STAT:40, ROLE: 2) </t>
  </si>
  <si>
    <t xml:space="preserve">I nätet, titlar (UI:608, STAT:171, ROLE: 2) </t>
  </si>
  <si>
    <t xml:space="preserve">Lokalanvändning, enheter (2014 -) (UI:540, STAT:1037, ROLE: 2) </t>
  </si>
  <si>
    <t xml:space="preserve">Elektroniska periodika sammanlagt (UI:695, STAT:1036, ROLE: 8) </t>
  </si>
  <si>
    <t xml:space="preserve">Mikrofilmade periodika (2013 -) (UI:543, STAT:1039, ROLE: 2) </t>
  </si>
  <si>
    <t xml:space="preserve">Periodika sammanlagt (UI:544, STAT:1038, ROLE: 8) </t>
  </si>
  <si>
    <t xml:space="preserve">Tryckta kartor, enheter *** (UI:184, STAT:68, ROLE: 2) </t>
  </si>
  <si>
    <t xml:space="preserve">Lokal användning (2014 -) (UI:553, STAT:1044, ROLE: 2) </t>
  </si>
  <si>
    <t xml:space="preserve">Elektroniska kartor sammanlagt (UI:555, STAT:1046, ROLE: 8) </t>
  </si>
  <si>
    <t xml:space="preserve">Kartor sammanlagt (UI:558, STAT:1049, ROLE: 8) </t>
  </si>
  <si>
    <t xml:space="preserve">enheter *** (UI:187, STAT:76, ROLE: 2) </t>
  </si>
  <si>
    <t xml:space="preserve">Musikinspelningar, enheter (UI:559, STAT:86, ROLE: 2) </t>
  </si>
  <si>
    <t xml:space="preserve">Musikinspelningar (i nätet) (UI:466, STAT:138, ROLE: 2) </t>
  </si>
  <si>
    <t xml:space="preserve">Musikmaterial sammanlagt (UI:629, STAT:1086, ROLE: 8) </t>
  </si>
  <si>
    <t xml:space="preserve">Grafisk, enheter (UI:193, STAT:100, ROLE: 2) </t>
  </si>
  <si>
    <t xml:space="preserve">musikinspelningar (UI:627, STAT:138, ROLE: 2) </t>
  </si>
  <si>
    <t xml:space="preserve">Audiovisuellt material i nätet, sammanlagt *** (UI:388, STAT:137, ROLE: 8) </t>
  </si>
  <si>
    <t xml:space="preserve">Musikinspelningar, enheter (UI:375, STAT:86, ROLE: 2) </t>
  </si>
  <si>
    <t xml:space="preserve">Ljudböcker, inspelningar (UI:626, STAT:87, ROLE: 2) </t>
  </si>
  <si>
    <t xml:space="preserve">visuella, enheter (UI:377, STAT:88, ROLE: 2) </t>
  </si>
  <si>
    <t xml:space="preserve">audiovisuella, enheter (UI:378, STAT:89, ROLE: 2) </t>
  </si>
  <si>
    <t xml:space="preserve">odefinierade, enheter (UI:439, STAT:452, ROLE: 2) </t>
  </si>
  <si>
    <t xml:space="preserve">Lokalanv. sammanlagt, enheter (UI:191, STAT:85, ROLE: 8) </t>
  </si>
  <si>
    <t xml:space="preserve">Elektroniska audiovisuella material, sammanlagt (UI:665, STAT:1100, ROLE: 8) </t>
  </si>
  <si>
    <t xml:space="preserve">Audiovisuella material sammanlagt (UI:666, STAT:1101, ROLE: 8) </t>
  </si>
  <si>
    <t xml:space="preserve">enheter *** (UI:196, STAT:108, ROLE: 2) </t>
  </si>
  <si>
    <t xml:space="preserve">Patentpublikationer sammanlagt (UI:619, STAT:1084, ROLE: 8) </t>
  </si>
  <si>
    <t xml:space="preserve">arkivbildare (UI:199, STAT:115, ROLE: 3) </t>
  </si>
  <si>
    <t xml:space="preserve">enheter (UI:297, STAT:388, ROLE: 3) </t>
  </si>
  <si>
    <t xml:space="preserve">hyllmetrar (UI:200, STAT:116, ROLE: 3) </t>
  </si>
  <si>
    <t xml:space="preserve">Arkivbildare sammanlagt (UI:630, STAT:1087, ROLE: 8) </t>
  </si>
  <si>
    <t xml:space="preserve">Tryckta, enheter *** (UI:300, STAT:391, ROLE: 2) </t>
  </si>
  <si>
    <t xml:space="preserve">databaser i nätet/datorer (titlar) *** (UI:392, STAT:154, ROLE: 2) </t>
  </si>
  <si>
    <t xml:space="preserve">antal databaser (UI:214, STAT:152, ROLE: 8) </t>
  </si>
  <si>
    <t xml:space="preserve">Övrigt elektronisk material (i nätet) *** (UI:389, STAT:142, ROLE: 2) </t>
  </si>
  <si>
    <t xml:space="preserve">enheter (UI:181, STAT:60, ROLE: 2) </t>
  </si>
  <si>
    <t xml:space="preserve">Tryckta böcker, titlar (UI:168, STAT:32, ROLE: 2) </t>
  </si>
  <si>
    <t xml:space="preserve">Lokalanvändning, titlar (2013 -) (UI:586, STAT:1073, ROLE: 2) </t>
  </si>
  <si>
    <t xml:space="preserve">I nätet, titlar (UI:587, STAT:135, ROLE: 2) </t>
  </si>
  <si>
    <t xml:space="preserve">Elektroniska böcker sammanlagt, titlar (UI:588, STAT:1074, ROLE: 8) </t>
  </si>
  <si>
    <t xml:space="preserve">Mikroform, titlar (2013 -) (UI:531, STAT:1034, ROLE: 2) </t>
  </si>
  <si>
    <t xml:space="preserve">Ljudböcker, lokal användning, titlar (UI:533, STAT:1099, ROLE: 2) </t>
  </si>
  <si>
    <t xml:space="preserve">Ljudböcker, titlar sammanlagt (UI:535, STAT:1115, ROLE: 8) </t>
  </si>
  <si>
    <t xml:space="preserve">böcker, titlar sammanlagt (UI:537, STAT:1035, ROLE: 8) </t>
  </si>
  <si>
    <t xml:space="preserve">Manuskript, titlar (UI:536, STAT:51, ROLE: 2) </t>
  </si>
  <si>
    <t xml:space="preserve">Tryckta, ttlar (UI:172, STAT:41, ROLE: 2) </t>
  </si>
  <si>
    <t xml:space="preserve">Lokalanvändning, titlar (2014 -) (UI:546, STAT:1040, ROLE: 2) </t>
  </si>
  <si>
    <t xml:space="preserve">Periodika i nätet, titlar *** (UI:547, STAT:171, ROLE: 2) </t>
  </si>
  <si>
    <t xml:space="preserve">Elektronisk periodika, titlar sammanlagt (UI:548, STAT:1041, ROLE: 8) </t>
  </si>
  <si>
    <t xml:space="preserve">Mikrofilmade periodika (2013 -) (UI:549, STAT:1042, ROLE: 2) </t>
  </si>
  <si>
    <t xml:space="preserve">Periodika, titlar sammanlagt (UI:550, STAT:1043, ROLE: 8) </t>
  </si>
  <si>
    <t xml:space="preserve">Tryckta kartot, titlar (UI:652, STAT:1112, ROLE: 2) </t>
  </si>
  <si>
    <t xml:space="preserve">titlar (UI:188, STAT:77, ROLE: 2) </t>
  </si>
  <si>
    <t xml:space="preserve">Musikinspelningar (UI:653, STAT:138, ROLE: 2) </t>
  </si>
  <si>
    <t xml:space="preserve">Audiovisuellt material i nätet sammanlagt, titlar (UI:657, STAT:137, ROLE: 8) </t>
  </si>
  <si>
    <t xml:space="preserve">Databser, titlar (i nätet/datorer) (UI:661, STAT:154, ROLE: 2) </t>
  </si>
  <si>
    <t xml:space="preserve">Övrigt elektronisk material, i nätet, titlar (UI:662, STAT:142, ROLE: 2) </t>
  </si>
  <si>
    <t xml:space="preserve">antal beställda periodika (UI:217, STAT:165, ROLE: 2) </t>
  </si>
  <si>
    <t xml:space="preserve">Periodika, tiitlar *** (UI:218, STAT:166, ROLE: 2) </t>
  </si>
  <si>
    <t xml:space="preserve">- antal tidningsbeställningar (UI:219, STAT:168, ROLE: 2) </t>
  </si>
  <si>
    <t xml:space="preserve">- antal tidningstitlar (UI:220, STAT:169, ROLE: 2) </t>
  </si>
  <si>
    <t xml:space="preserve">Antal periodika i bruk, titlar *** (UI:221, STAT:171, ROLE: 2) </t>
  </si>
  <si>
    <t xml:space="preserve">Prenumerationer på periodika (UI:222, STAT:173, ROLE: 2) </t>
  </si>
  <si>
    <t xml:space="preserve">Titlar på periodika (UI:223, STAT:174, ROLE: 8) </t>
  </si>
  <si>
    <t xml:space="preserve">B.4.1 Antal katalogposter (UI:91, STAT:176, ROLE: 2) </t>
  </si>
  <si>
    <t xml:space="preserve">B.4.2 Nya katalogposter (UI:92, STAT:177, ROLE: 8) </t>
  </si>
  <si>
    <t xml:space="preserve">kopieringskatalogisering (UI:224, STAT:178, ROLE: 2) </t>
  </si>
  <si>
    <t xml:space="preserve">nykatalogisering (UI:398, STAT:180, ROLE: 2) </t>
  </si>
  <si>
    <t xml:space="preserve">konverteringskatalogisering (UI:399, STAT:181, ROLE: 2) </t>
  </si>
  <si>
    <t xml:space="preserve">odefinierade (UI:339, STAT:454, ROLE: 2) </t>
  </si>
  <si>
    <t xml:space="preserve">antal databaser (UI:226, STAT:183, ROLE: 2) </t>
  </si>
  <si>
    <t xml:space="preserve">antal katalogposter (UI:227, STAT:184, ROLE: 2) </t>
  </si>
  <si>
    <t xml:space="preserve">Enheter (UI:169, STAT:34, ROLE: 2) </t>
  </si>
  <si>
    <t xml:space="preserve">varav inköpta *** (UI:369, STAT:35, ROLE: 2) </t>
  </si>
  <si>
    <t xml:space="preserve">Förvärv av mikrofilmade böcker (2013-) (UI:569, STAT:1051, ROLE: 2) </t>
  </si>
  <si>
    <t xml:space="preserve">Lokalanvängning (UI:380, STAT:93, ROLE: 2) </t>
  </si>
  <si>
    <t xml:space="preserve">enheter *** (UI:179, STAT:54, ROLE: 2) </t>
  </si>
  <si>
    <t xml:space="preserve">varav inköpta (UI:371, STAT:55, ROLE: 2) </t>
  </si>
  <si>
    <t xml:space="preserve">Tryckta, enheter *** (UI:173, STAT:43, ROLE: 2) </t>
  </si>
  <si>
    <t xml:space="preserve">Enheter *** (UI:185, STAT:70, ROLE: 2) </t>
  </si>
  <si>
    <t xml:space="preserve">Tryckta, enheter *** (UI:189, STAT:79, ROLE: 2) </t>
  </si>
  <si>
    <t xml:space="preserve">Musikinspelningar (UI:379, STAT:92, ROLE: 2) </t>
  </si>
  <si>
    <t xml:space="preserve">Enheter (UI:192, STAT:91, ROLE: 8) </t>
  </si>
  <si>
    <t xml:space="preserve">Audiovisuella (UI:382, STAT:95, ROLE: 2) </t>
  </si>
  <si>
    <t xml:space="preserve">Enheter *** (UI:194, STAT:102, ROLE: 2) </t>
  </si>
  <si>
    <t xml:space="preserve">Enheter (UI:301, STAT:392, ROLE: 2) </t>
  </si>
  <si>
    <t xml:space="preserve">Förvärv, tryckta, titlar (UI:663, STAT:1111, ROLE: 2) </t>
  </si>
  <si>
    <t xml:space="preserve">Tryckta titlar (UI:174, STAT:45, ROLE: 2) </t>
  </si>
  <si>
    <t xml:space="preserve">Tryckta kartor (2013-) (UI:597, STAT:1078, ROLE: 2) </t>
  </si>
  <si>
    <t xml:space="preserve">Antal databaser (UI:215, STAT:156, ROLE: 2) </t>
  </si>
  <si>
    <t xml:space="preserve">Nätdokument (titlar) (UI:211, STAT:145, ROLE: 2) </t>
  </si>
  <si>
    <t xml:space="preserve">Lån *** (UI:243, STAT:224, ROLE: 8) </t>
  </si>
  <si>
    <t xml:space="preserve">självbetjäningslån (UI:400, STAT:225, ROLE: 2) </t>
  </si>
  <si>
    <t xml:space="preserve">lån från betjäningsdisken (UI:401, STAT:226, ROLE: 2) </t>
  </si>
  <si>
    <t xml:space="preserve">Förnyade lån (UI:244, STAT:227, ROLE: 8) </t>
  </si>
  <si>
    <t xml:space="preserve">förnyade-självbetjäning (UI:402, STAT:228, ROLE: 2) </t>
  </si>
  <si>
    <t xml:space="preserve">förnyade-betjäningsdisken *** (UI:437, STAT:415, ROLE: 2) </t>
  </si>
  <si>
    <t xml:space="preserve">C.2.2 Läsesalslån *** (UI:98, STAT:229, ROLE: 2) </t>
  </si>
  <si>
    <t xml:space="preserve">C.3.1 Antal uppdrag (UI:99, STAT:231, ROLE: 8) </t>
  </si>
  <si>
    <t xml:space="preserve">Avgiftsfria (UI:246, STAT:233, ROLE: 3) </t>
  </si>
  <si>
    <t xml:space="preserve">C.4.1 Beviljade fjärrlån (UI:100, STAT:235, ROLE: 8) </t>
  </si>
  <si>
    <t xml:space="preserve">Mottagna beställningar (UI:247, STAT:236, ROLE: 2) </t>
  </si>
  <si>
    <t xml:space="preserve">Som lån *** (UI:403, STAT:238, ROLE: 2) </t>
  </si>
  <si>
    <t xml:space="preserve">Som kopia *** (UI:404, STAT:239, ROLE: 2) </t>
  </si>
  <si>
    <t xml:space="preserve">C.4.2 Erhållna fjärrlån (UI:101, STAT:240, ROLE: 8) </t>
  </si>
  <si>
    <t xml:space="preserve">Skickade beställningar (UI:249, STAT:241, ROLE: 2) </t>
  </si>
  <si>
    <t xml:space="preserve">Som lån *** (UI:405, STAT:243, ROLE: 2) </t>
  </si>
  <si>
    <t xml:space="preserve">Som kopia *** (UI:406, STAT:244, ROLE: 2) </t>
  </si>
  <si>
    <t xml:space="preserve">C.5.1 Beviljade fjärrlån (UI:102, STAT:246, ROLE: 8) </t>
  </si>
  <si>
    <t xml:space="preserve">Mottagna beställningar (UI:251, STAT:247, ROLE: 2) </t>
  </si>
  <si>
    <t xml:space="preserve">Som lån *** (UI:407, STAT:249, ROLE: 2) </t>
  </si>
  <si>
    <t xml:space="preserve">Som kopia *** (UI:408, STAT:250, ROLE: 2) </t>
  </si>
  <si>
    <t xml:space="preserve">C.5.2 Erhållna fjärrlån (UI:103, STAT:251, ROLE: 8) </t>
  </si>
  <si>
    <t xml:space="preserve">Skickade beställningar (UI:253, STAT:252, ROLE: 2) </t>
  </si>
  <si>
    <t xml:space="preserve">Som lån *** (UI:409, STAT:254, ROLE: 2) </t>
  </si>
  <si>
    <t xml:space="preserve">Som kopia *** (UI:410, STAT:255, ROLE: 2) </t>
  </si>
  <si>
    <t xml:space="preserve">C.7.1 Antal utställningar (UI:105, STAT:261, ROLE: 2) </t>
  </si>
  <si>
    <t xml:space="preserve">C.7.2 Antal evenemang (UI:106, STAT:262, ROLE: 2) </t>
  </si>
  <si>
    <t xml:space="preserve">C.8.1 Antal publikationer totalt (UI:107, STAT:264, ROLE: 8) </t>
  </si>
  <si>
    <t xml:space="preserve">Tryckta (UI:257, STAT:265, ROLE: 8) </t>
  </si>
  <si>
    <t xml:space="preserve">Elektroniska (UI:258, STAT:266, ROLE: 8) </t>
  </si>
  <si>
    <t xml:space="preserve">C.8.2 Bibliotekets egna publikationer (UI:108, STAT:267, ROLE: 8) </t>
  </si>
  <si>
    <t xml:space="preserve">Tryckta (UI:259, STAT:268, ROLE: 2) </t>
  </si>
  <si>
    <t xml:space="preserve">Elektroniska (UI:260, STAT:269, ROLE: 2) </t>
  </si>
  <si>
    <t xml:space="preserve">C.9.2.1 Antal infomationssökningar (UI:685, STAT:1117, ROLE: 2) </t>
  </si>
  <si>
    <t xml:space="preserve">C.9.2.2 Antal kontakter (UI:686, STAT:1118, ROLE: 2) </t>
  </si>
  <si>
    <t xml:space="preserve">C.10.1 Besök per år *** (UI:115, STAT:293, ROLE: 3) </t>
  </si>
  <si>
    <t xml:space="preserve">Undervisningstimmar (UI:266, STAT:296, ROLE: 2) </t>
  </si>
  <si>
    <t xml:space="preserve">Antal deltagare (UI:267, STAT:297, ROLE: 3) </t>
  </si>
  <si>
    <t xml:space="preserve">D.1.1 Öppethållningstimmar under en vecka (UI:120, STAT:303, ROLE: 8) </t>
  </si>
  <si>
    <t xml:space="preserve">Huvudbibliotek (UI:268, STAT:304, ROLE: 8) </t>
  </si>
  <si>
    <t xml:space="preserve">Betjäning (UI:632, STAT:1089, ROLE: 2) </t>
  </si>
  <si>
    <t xml:space="preserve">Självbetjäning (UI:633, STAT:1090, ROLE: 2) </t>
  </si>
  <si>
    <t xml:space="preserve">D.2.1 Öppethållningsdagarnas antal under statistikperioden (UI:121, STAT:307, ROLE: 8) </t>
  </si>
  <si>
    <t xml:space="preserve">Huvudbibliotek (UI:270, STAT:308, ROLE: 2) </t>
  </si>
  <si>
    <t xml:space="preserve">D.3.1 Läse- och arbetsplatser sammanlagt, varav *** (UI:122, STAT:311, ROLE: 2) </t>
  </si>
  <si>
    <t xml:space="preserve">i grupparbetsutrymmen (UI:272, STAT:312, ROLE: 2) </t>
  </si>
  <si>
    <t xml:space="preserve">i forskarrum (UI:273, STAT:313, ROLE: 2) </t>
  </si>
  <si>
    <t xml:space="preserve">D.4.1 Antalet arbetsstationer reserverade för kundernas bruk *** (UI:123, STAT:315, ROLE: 2) </t>
  </si>
  <si>
    <t xml:space="preserve">D.4.2 Antalet arbetsstationer för personalen (UI:124, STAT:316, ROLE: 2) </t>
  </si>
  <si>
    <t xml:space="preserve">D.4.3 Antalet internet anslutningar reseverade för kundernas bruk (UI:125, STAT:317, ROLE: 2) </t>
  </si>
  <si>
    <t xml:space="preserve">D.4.4 Antalet tilläggsapparater reserverade för kunderna (UI:126, STAT:318, ROLE: 2) </t>
  </si>
  <si>
    <t xml:space="preserve">Kvadratmeter sammanlagt (UI:274, STAT:321, ROLE: 8) </t>
  </si>
  <si>
    <t xml:space="preserve">Kundbetjäningstutrymmen (inklusive utrymmen för de öppna samlingarna) (UI:416, STAT:322, ROLE: 2) </t>
  </si>
  <si>
    <t xml:space="preserve">Övriga utrymmen för biblioteksverksamheten, varav (UI:417, STAT:323, ROLE: 2) </t>
  </si>
  <si>
    <t xml:space="preserve">utrymmen för stängda samlingar (UI:470, STAT:324, ROLE: 2) </t>
  </si>
  <si>
    <t xml:space="preserve">övriga urymmen (mötes, utställnings mm. utrymmen) (UI:418, STAT:325, ROLE: 2) </t>
  </si>
  <si>
    <t xml:space="preserve">hyllmetrar i bruk sammanlagt (UI:275, STAT:328, ROLE: 2) </t>
  </si>
  <si>
    <t xml:space="preserve">de öppna samlingarnas hyllmetrar (UI:276, STAT:329, ROLE: 2) </t>
  </si>
  <si>
    <t xml:space="preserve">E.1.1 Verksamhetsutgifter totalt *** (UI:130, STAT:332, ROLE: 8) </t>
  </si>
  <si>
    <t xml:space="preserve">E.1.1.1 Personalutgifter (UI:277, STAT:334, ROLE: 8) </t>
  </si>
  <si>
    <t xml:space="preserve">personalens löne och sidokostnader (UI:419, STAT:335, ROLE: 2) </t>
  </si>
  <si>
    <t xml:space="preserve">Utgifter för personalutbildning (UI:420, STAT:336, ROLE: 2) </t>
  </si>
  <si>
    <t xml:space="preserve">E.1.1.2 Utgifter för biblioteksmaterial *** (UI:278, STAT:338, ROLE: 8) </t>
  </si>
  <si>
    <t xml:space="preserve">E.1.1.2.1 Tryckt material, varav (UI:421, STAT:340, ROLE: 8) </t>
  </si>
  <si>
    <t xml:space="preserve">Periodika (UI:422, STAT:341, ROLE: 2) </t>
  </si>
  <si>
    <t xml:space="preserve">Kurslitteratur *** (UI:423, STAT:342, ROLE: 2) </t>
  </si>
  <si>
    <t xml:space="preserve">Övriga monografier (UI:424, STAT:343, ROLE: 2) </t>
  </si>
  <si>
    <t xml:space="preserve">E.1.1.2.2 Elektroniskt material, varav *** (UI:425, STAT:344, ROLE: 8) </t>
  </si>
  <si>
    <t xml:space="preserve">Periodika (UI:426, STAT:346, ROLE: 2) </t>
  </si>
  <si>
    <t xml:space="preserve">Kursmaterial (på nätet) (UI:427, STAT:347, ROLE: 2) </t>
  </si>
  <si>
    <t xml:space="preserve">Elektroniska böcker (UI:428, STAT:348, ROLE: 2) </t>
  </si>
  <si>
    <t xml:space="preserve">Övrigt elektroniskt material (UI:449, STAT:477, ROLE: 2) </t>
  </si>
  <si>
    <t xml:space="preserve">E.1.1.2.3 Övrigt material (UI:429, STAT:349, ROLE: 2) </t>
  </si>
  <si>
    <t xml:space="preserve">E.1.1.3 Underhåll av samlingarna (UI:280, STAT:351, ROLE: 8) </t>
  </si>
  <si>
    <t xml:space="preserve">Inbindnings- och konserveringsavgifter (UI:430, STAT:353, ROLE: 2) </t>
  </si>
  <si>
    <t xml:space="preserve">övriga kostnader för underhåll av samlingar (UI:445, STAT:461, ROLE: 2) </t>
  </si>
  <si>
    <t xml:space="preserve">E.1.1.4 Avgifter för utrymmen eller kalkylerade avgifter för utrymmen (UI:281, STAT:355, ROLE: 3) </t>
  </si>
  <si>
    <t xml:space="preserve">E.1.1.5 Informationsteknik och datakommunikation (UI:282, STAT:357, ROLE: 3) </t>
  </si>
  <si>
    <t xml:space="preserve">E.1.1.6 Övriga kostnader (UI:283, STAT:359, ROLE: 2) </t>
  </si>
  <si>
    <t xml:space="preserve">E.2.1 Omkostnader för biblioteksmaterial i organistationen sammanlagt (UI:147, STAT:482, ROLE: 8) </t>
  </si>
  <si>
    <t xml:space="preserve">E.2.1.1 Material som anskaffats med indirekt budgetfinansiering (UI:279, STAT:350, ROLE: 8) </t>
  </si>
  <si>
    <t xml:space="preserve">E.2.1.1.1 Tryckt material, varav (UI:448, STAT:471, ROLE: 8) </t>
  </si>
  <si>
    <t xml:space="preserve">periodika (UI:471, STAT:462, ROLE: 2) </t>
  </si>
  <si>
    <t xml:space="preserve">kurslitteratur (UI:472, STAT:463, ROLE: 2) </t>
  </si>
  <si>
    <t xml:space="preserve">övriga monografier (UI:473, STAT:464, ROLE: 2) </t>
  </si>
  <si>
    <t xml:space="preserve">E.2.1.1.2 Elektroniskt material, varav (UI:446, STAT:465, ROLE: 8) </t>
  </si>
  <si>
    <t xml:space="preserve">periodika (UI:474, STAT:467, ROLE: 2) </t>
  </si>
  <si>
    <t xml:space="preserve">kursslitteratur (på nätet) (UI:475, STAT:468, ROLE: 2) </t>
  </si>
  <si>
    <t xml:space="preserve">elektroniska böcker (UI:476, STAT:469, ROLE: 2) </t>
  </si>
  <si>
    <t xml:space="preserve">övrigt elektroniskt material (UI:477, STAT:476, ROLE: 2) </t>
  </si>
  <si>
    <t xml:space="preserve">E.2.1.1.3 Övrigt material (UI:447, STAT:470, ROLE: 2) </t>
  </si>
  <si>
    <t xml:space="preserve">E.2.1.2 Omkostnader för biblioteksmaterial (bibliotekets budget) (UI:340, STAT:460, ROLE: 8) </t>
  </si>
  <si>
    <t xml:space="preserve">E.3.1 Kapitalkostnader sammanlagt (UI:148, STAT:483, ROLE: 8) </t>
  </si>
  <si>
    <t xml:space="preserve">E.3.1.3 Övriga (UI:286, STAT:364, ROLE: 2) </t>
  </si>
  <si>
    <t xml:space="preserve">E.4.1 Bibliotekets finansiering sammanlagt *** (UI:149, STAT:484, ROLE: 8) </t>
  </si>
  <si>
    <t xml:space="preserve">E.4.1.1 Finansiering från den egna ramorganisationen, varav (UI:287, STAT:366, ROLE: 8) </t>
  </si>
  <si>
    <t xml:space="preserve">E.4.1.1.1 Direkt budgetfinansiering *** (UI:432, STAT:367, ROLE: 2) </t>
  </si>
  <si>
    <t xml:space="preserve">E.4.1.1.2 Indirekt budgetfinansiering (UI:433, STAT:368, ROLE: 3) </t>
  </si>
  <si>
    <t xml:space="preserve">E.4.1.1.3 Projektfinansiering (UI:434, STAT:369, ROLE: 2) </t>
  </si>
  <si>
    <t xml:space="preserve">E.4.1.2 Övrig offentlig finansiering, varav (UI:288, STAT:370, ROLE: 2) </t>
  </si>
  <si>
    <t xml:space="preserve">projektfinansiering (UI:435, STAT:371, ROLE: 2) </t>
  </si>
  <si>
    <t xml:space="preserve">E.4.1.3 Privat finansiering (UI:289, STAT:372, ROLE: 2) </t>
  </si>
  <si>
    <t xml:space="preserve">E.4.1.4 Inkomster från de avgiftsbelagda tjänsterna (UI:290, STAT:373, ROLE: 2) </t>
  </si>
  <si>
    <t xml:space="preserve">E.4.1.5 Centraliserad finansiering (UI:345, STAT:501, ROLE: 2) </t>
  </si>
  <si>
    <t xml:space="preserve">E.4.1.6 Övrig finansiering (UI:291, STAT:374, ROLE: 2) </t>
  </si>
  <si>
    <t xml:space="preserve">E.5.1 Ingående FinElibs licensavgifter (bibliotekets budget) (UI:133, STAT:345, ROLE: 2) </t>
  </si>
  <si>
    <t xml:space="preserve">E.5.2 Ingående FinELibs licensavgifter (ramorganisation) (UI:144, STAT:466, ROLE: 2) </t>
  </si>
  <si>
    <t xml:space="preserve">F.1.1 Personalens antal i slutet av året (UI:138, STAT:377, ROLE: 2) </t>
  </si>
  <si>
    <t xml:space="preserve">F.1.2 Årsverken (åv), varav *** (UI:139, STAT:378, ROLE: 8) </t>
  </si>
  <si>
    <t xml:space="preserve">Avlönade med bibliotekets budget (åv) (UI:342, STAT:474, ROLE: 2) </t>
  </si>
  <si>
    <t xml:space="preserve">Avlönade från avgiftsbelagda tjänster(åv) (UI:343, STAT:475, ROLE: 2) </t>
  </si>
  <si>
    <t xml:space="preserve">Avlönade med yttre finansiering (åv) (UI:292, STAT:379, ROLE: 2) </t>
  </si>
  <si>
    <t xml:space="preserve">F.1.3 Årsverken (UI:145, STAT:473, ROLE: 8) </t>
  </si>
  <si>
    <t xml:space="preserve">Bibliotekstjänstemän (åv), varav (UI:293, STAT:380, ROLE: 2) </t>
  </si>
  <si>
    <t xml:space="preserve">personal med högre högskoleutbildning (åv) (UI:436, STAT:381, ROLE: 2) </t>
  </si>
  <si>
    <t xml:space="preserve">Experter (åv) (UI:294, STAT:382, ROLE: 2) </t>
  </si>
  <si>
    <t xml:space="preserve">Övrig bibliotekspersonal (åv) (UI:295, STAT:383, ROLE: 2) </t>
  </si>
  <si>
    <t xml:space="preserve">Lån / tryckta samlingar sammanlagt (UI:485, STAT:1002, ROLE: 8) </t>
  </si>
  <si>
    <t xml:space="preserve">Erhållna fjärrlån och kopior / beviljade fjärrlån och kopior (UI:489, STAT:1006, ROLE: 8) </t>
  </si>
  <si>
    <t xml:space="preserve">Den tryckta samlingens accession / tryckta samlingar sammanlagt % (UI:494, STAT:1010, ROLE: 8) </t>
  </si>
  <si>
    <t xml:space="preserve">Den elektroniska samlingens accession (titlar) / elektroniska samlingar sammanlagt (titlar) % (UI:690, STAT:1123, ROLE: 8) </t>
  </si>
  <si>
    <t xml:space="preserve">Förvärv av samlingarna / samlingar sammanlagt (allt material, enheter eller titlar) % (UI:691, STAT:1124, ROLE: 8) </t>
  </si>
  <si>
    <t xml:space="preserve">Anskaffningskostnader för elektroniskt material / biblioteksmaterialets anskaffningskostnader % (UI:507, STAT:1022, ROLE: 8) </t>
  </si>
  <si>
    <t xml:space="preserve">Kostnader för biblioteksmaterial / bibliotekets totalkostnader % (UI:506, STAT:1021, ROLE: 8) </t>
  </si>
  <si>
    <t xml:space="preserve">Insats-output (UI:499, STAT:1014, ROLE: 8) </t>
  </si>
  <si>
    <t xml:space="preserve">Direkt budgetfinansiering / total finansiering % (UI:503, STAT:1018, ROLE: 8) </t>
  </si>
  <si>
    <t>KITT2:n kentät pidettävä tässä taulussa kovakoodattuna molemmilla kotimaisilla kielillä</t>
  </si>
  <si>
    <t/>
  </si>
  <si>
    <t>HUOM: Kentän STAT:501 ruotsinnos on Ulrika Wikströmin käännös  3.2.2009</t>
  </si>
  <si>
    <t xml:space="preserve">Betjäning (UI:635, STAT:1091, ROLE: 2) </t>
  </si>
  <si>
    <t>Viikon tunnit</t>
  </si>
  <si>
    <t>Vuoden päivät</t>
  </si>
  <si>
    <t>Kirjasto keskim auki / päivä</t>
  </si>
  <si>
    <t xml:space="preserve">C.11.4 Verkkokurssin suorittaneiden määrä (UI:119, STAT:300, ROLE: 2) </t>
  </si>
  <si>
    <t>Hallinnolliset yksiköt</t>
  </si>
  <si>
    <t>KITTCheckSuperTool™</t>
  </si>
  <si>
    <t>***) Käytetään tunnuslukujen laskennassa</t>
  </si>
  <si>
    <t xml:space="preserve">Mikromuotoisten kartunta (UI:59) </t>
  </si>
  <si>
    <t xml:space="preserve">C.9.9 Kirjaston www-sivut (UI:114) </t>
  </si>
  <si>
    <t xml:space="preserve">C.9.9.1 Virtuaalisten kirjastokäyntien määrä *** (UI:265, STAT:291, ROLE: 3) </t>
  </si>
  <si>
    <t xml:space="preserve">C.9.10 Suomalainen verkkoarkisto (UI:155) </t>
  </si>
  <si>
    <t xml:space="preserve">C.9.10.1 Katsotut tiedostot (UI:356, STAT:648, ROLE: 2) </t>
  </si>
  <si>
    <t xml:space="preserve">C.9.10.2 Tiedonhakujen määrä (-2016) (UI:355, STAT:647, ROLE: 2) </t>
  </si>
  <si>
    <t xml:space="preserve">Palvelu (UI:635, STAT:1091, ROLE: 2) </t>
  </si>
  <si>
    <t xml:space="preserve">Itsepalvelu (UI:636, STAT:1092, ROLE: 2) </t>
  </si>
  <si>
    <t xml:space="preserve">Accession av mikroform (UI:59) </t>
  </si>
  <si>
    <t xml:space="preserve">C.9.9 Bibliotekets www-sidor (UI:114) </t>
  </si>
  <si>
    <t xml:space="preserve">C.9.9.1 Antal virtuella besök *** (UI:265, STAT:291, ROLE: 3) </t>
  </si>
  <si>
    <t xml:space="preserve">C.9.10 Finländska webbarkivet (UI:155) </t>
  </si>
  <si>
    <t xml:space="preserve">C.9.10.1 Granskade filer (UI:356, STAT:648, ROLE: 2) </t>
  </si>
  <si>
    <t xml:space="preserve">C.9.10.2 Antal informationssökningar (-2016) (UI:355, STAT:647, ROLE: 2) </t>
  </si>
  <si>
    <t xml:space="preserve">Självbetjäning (UI:636, STAT:1092, ROLE: 2) </t>
  </si>
  <si>
    <t>Vuoden tunnit</t>
  </si>
  <si>
    <r>
      <rPr>
        <b/>
        <sz val="12"/>
        <color theme="8"/>
        <rFont val="Calibri"/>
        <family val="2"/>
      </rPr>
      <t xml:space="preserve">KITTCheckSuperTool™. Versio 2.0 - 18.1.2021                                                                     </t>
    </r>
    <r>
      <rPr>
        <b/>
        <sz val="12"/>
        <rFont val="Calibri"/>
        <family val="2"/>
      </rPr>
      <t xml:space="preserve"> </t>
    </r>
    <r>
      <rPr>
        <b/>
        <sz val="12"/>
        <color rgb="FF00B050"/>
        <rFont val="Calibri"/>
        <family val="2"/>
      </rPr>
      <t>KITTCheckSuperTool™. Version 2.0 - 18/01 2021</t>
    </r>
    <r>
      <rPr>
        <b/>
        <sz val="12"/>
        <rFont val="Calibri"/>
        <family val="2"/>
      </rPr>
      <t xml:space="preserve">
</t>
    </r>
    <r>
      <rPr>
        <b/>
        <sz val="12"/>
        <color theme="8"/>
        <rFont val="Calibri"/>
        <family val="2"/>
      </rPr>
      <t xml:space="preserve">Huom: Tiedosto toimii oikein vain, jos kielivalinta ja KITT2:n hakukieli ovat samoja    </t>
    </r>
    <r>
      <rPr>
        <b/>
        <sz val="12"/>
        <color rgb="FF00B050"/>
        <rFont val="Calibri"/>
        <family val="2"/>
      </rPr>
      <t xml:space="preserve"> Obs: Filen fungerar rätt endast om språkval och KITT2 sökspråk är samma</t>
    </r>
  </si>
  <si>
    <r>
      <t xml:space="preserve">SFS-ISO 2789:2015;2.2.19: </t>
    </r>
    <r>
      <rPr>
        <b/>
        <sz val="8"/>
        <color theme="0"/>
        <rFont val="Calibri"/>
        <family val="2"/>
        <scheme val="minor"/>
      </rPr>
      <t>U</t>
    </r>
    <r>
      <rPr>
        <sz val="8"/>
        <color theme="0"/>
        <rFont val="Calibri"/>
        <family val="2"/>
        <scheme val="minor"/>
      </rPr>
      <t>usinnat lasketaan erikseen</t>
    </r>
  </si>
  <si>
    <r>
      <t xml:space="preserve">Paikallislainat + </t>
    </r>
    <r>
      <rPr>
        <b/>
        <sz val="8"/>
        <color theme="0"/>
        <rFont val="Calibri"/>
        <family val="2"/>
      </rPr>
      <t>saadut kaukolainat</t>
    </r>
    <r>
      <rPr>
        <sz val="8"/>
        <color theme="0"/>
        <rFont val="Calibri"/>
        <family val="2"/>
      </rPr>
      <t>. Annetut kaukolainat muihin kirjastoihin tilastoituvat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</si>
</sst>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_ ;[Red]\-#,##0.0\ "/>
    <numFmt numFmtId="166" formatCode="0.0\ %"/>
    <numFmt numFmtId="167" formatCode="#,##0.0"/>
    <numFmt numFmtId="168" formatCode="#,##0.00_ ;[Red]\-#,##0.00\ "/>
  </numFmts>
  <fonts count="4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9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theme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  <fill>
      <gradientFill degree="180">
        <stop position="0">
          <color rgb="FFFFFF0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7" fillId="4" borderId="0" xfId="0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protection hidden="1"/>
    </xf>
    <xf numFmtId="165" fontId="8" fillId="3" borderId="0" xfId="0" quotePrefix="1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23" fillId="8" borderId="0" xfId="0" applyNumberFormat="1" applyFont="1" applyFill="1" applyAlignment="1" applyProtection="1">
      <protection hidden="1"/>
    </xf>
    <xf numFmtId="0" fontId="24" fillId="8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25" fillId="8" borderId="0" xfId="0" applyNumberFormat="1" applyFont="1" applyFill="1" applyAlignment="1" applyProtection="1">
      <protection hidden="1"/>
    </xf>
    <xf numFmtId="164" fontId="23" fillId="9" borderId="0" xfId="0" applyNumberFormat="1" applyFont="1" applyFill="1" applyAlignment="1" applyProtection="1">
      <protection hidden="1"/>
    </xf>
    <xf numFmtId="0" fontId="1" fillId="9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9" fillId="7" borderId="0" xfId="0" applyFont="1" applyFill="1" applyProtection="1">
      <protection hidden="1"/>
    </xf>
    <xf numFmtId="0" fontId="20" fillId="7" borderId="0" xfId="0" applyFont="1" applyFill="1" applyProtection="1">
      <protection hidden="1"/>
    </xf>
    <xf numFmtId="0" fontId="21" fillId="7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3" fontId="1" fillId="0" borderId="0" xfId="0" applyNumberFormat="1" applyFont="1" applyProtection="1">
      <protection hidden="1"/>
    </xf>
    <xf numFmtId="167" fontId="1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68" fontId="1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9" borderId="0" xfId="0" applyFont="1" applyFill="1" applyProtection="1">
      <protection hidden="1"/>
    </xf>
    <xf numFmtId="168" fontId="2" fillId="0" borderId="0" xfId="0" applyNumberFormat="1" applyFont="1" applyAlignment="1" applyProtection="1">
      <alignment horizontal="right"/>
      <protection hidden="1"/>
    </xf>
    <xf numFmtId="164" fontId="30" fillId="9" borderId="0" xfId="0" applyNumberFormat="1" applyFont="1" applyFill="1" applyAlignment="1" applyProtection="1">
      <protection hidden="1"/>
    </xf>
    <xf numFmtId="0" fontId="30" fillId="9" borderId="0" xfId="0" applyFont="1" applyFill="1" applyProtection="1">
      <protection hidden="1"/>
    </xf>
    <xf numFmtId="0" fontId="31" fillId="6" borderId="0" xfId="2" applyFont="1" applyFill="1" applyProtection="1">
      <protection hidden="1"/>
    </xf>
    <xf numFmtId="0" fontId="32" fillId="6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31" fillId="10" borderId="0" xfId="2" applyFont="1" applyFill="1" applyProtection="1">
      <protection hidden="1"/>
    </xf>
    <xf numFmtId="0" fontId="32" fillId="10" borderId="0" xfId="0" applyFont="1" applyFill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23" fillId="8" borderId="0" xfId="0" applyFont="1" applyFill="1" applyAlignment="1" applyProtection="1">
      <alignment horizontal="center" vertical="top"/>
      <protection hidden="1"/>
    </xf>
    <xf numFmtId="0" fontId="23" fillId="9" borderId="0" xfId="0" applyFont="1" applyFill="1" applyAlignment="1" applyProtection="1">
      <alignment vertical="top"/>
      <protection hidden="1"/>
    </xf>
    <xf numFmtId="0" fontId="33" fillId="9" borderId="0" xfId="0" applyFont="1" applyFill="1" applyProtection="1">
      <protection hidden="1"/>
    </xf>
    <xf numFmtId="164" fontId="11" fillId="6" borderId="0" xfId="0" applyNumberFormat="1" applyFont="1" applyFill="1" applyAlignment="1" applyProtection="1"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165" fontId="12" fillId="2" borderId="0" xfId="0" applyNumberFormat="1" applyFont="1" applyFill="1" applyAlignment="1" applyProtection="1"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6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165" fontId="13" fillId="6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6" borderId="0" xfId="1" applyFont="1" applyFill="1" applyBorder="1" applyAlignment="1" applyProtection="1">
      <protection hidden="1"/>
    </xf>
    <xf numFmtId="0" fontId="10" fillId="0" borderId="0" xfId="0" applyFont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5" fillId="0" borderId="0" xfId="1" applyFont="1" applyBorder="1" applyAlignment="1" applyProtection="1">
      <protection hidden="1"/>
    </xf>
    <xf numFmtId="0" fontId="4" fillId="6" borderId="0" xfId="1" applyFont="1" applyFill="1" applyBorder="1" applyAlignment="1" applyProtection="1">
      <protection hidden="1"/>
    </xf>
    <xf numFmtId="0" fontId="6" fillId="6" borderId="0" xfId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0" fillId="6" borderId="0" xfId="0" applyFont="1" applyFill="1" applyBorder="1" applyProtection="1">
      <protection hidden="1"/>
    </xf>
    <xf numFmtId="0" fontId="4" fillId="6" borderId="0" xfId="1" applyFont="1" applyFill="1" applyBorder="1" applyAlignment="1" applyProtection="1">
      <alignment vertical="center"/>
      <protection hidden="1"/>
    </xf>
    <xf numFmtId="0" fontId="22" fillId="6" borderId="0" xfId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9" fillId="6" borderId="0" xfId="1" applyFont="1" applyFill="1" applyBorder="1" applyAlignment="1" applyProtection="1">
      <alignment horizontal="right"/>
      <protection hidden="1"/>
    </xf>
    <xf numFmtId="0" fontId="9" fillId="6" borderId="0" xfId="1" applyFont="1" applyFill="1" applyBorder="1" applyAlignment="1" applyProtection="1">
      <protection hidden="1"/>
    </xf>
    <xf numFmtId="0" fontId="26" fillId="6" borderId="0" xfId="1" applyFont="1" applyFill="1" applyBorder="1" applyAlignment="1" applyProtection="1">
      <alignment horizontal="right" vertical="top"/>
      <protection hidden="1"/>
    </xf>
    <xf numFmtId="0" fontId="4" fillId="0" borderId="0" xfId="1" applyFont="1" applyBorder="1" applyAlignment="1" applyProtection="1">
      <protection hidden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/>
    <xf numFmtId="0" fontId="6" fillId="0" borderId="7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26" fillId="6" borderId="0" xfId="1" applyFont="1" applyFill="1" applyBorder="1" applyAlignment="1" applyProtection="1">
      <alignment vertical="center"/>
      <protection hidden="1"/>
    </xf>
    <xf numFmtId="0" fontId="9" fillId="6" borderId="0" xfId="1" applyFont="1" applyFill="1" applyBorder="1" applyAlignment="1" applyProtection="1">
      <alignment vertical="center"/>
      <protection hidden="1"/>
    </xf>
    <xf numFmtId="0" fontId="26" fillId="6" borderId="0" xfId="1" applyFont="1" applyFill="1" applyBorder="1" applyAlignment="1" applyProtection="1">
      <protection hidden="1"/>
    </xf>
    <xf numFmtId="0" fontId="14" fillId="6" borderId="0" xfId="0" applyFont="1" applyFill="1" applyBorder="1" applyProtection="1">
      <protection hidden="1"/>
    </xf>
    <xf numFmtId="0" fontId="6" fillId="11" borderId="0" xfId="1" applyFont="1" applyFill="1" applyBorder="1" applyAlignment="1" applyProtection="1">
      <alignment horizontal="right" vertical="center"/>
      <protection hidden="1"/>
    </xf>
    <xf numFmtId="0" fontId="26" fillId="11" borderId="0" xfId="1" applyFont="1" applyFill="1" applyBorder="1" applyAlignment="1" applyProtection="1">
      <alignment vertical="center"/>
      <protection hidden="1"/>
    </xf>
    <xf numFmtId="0" fontId="9" fillId="11" borderId="0" xfId="1" applyFont="1" applyFill="1" applyBorder="1" applyAlignment="1" applyProtection="1">
      <alignment vertical="center"/>
      <protection hidden="1"/>
    </xf>
    <xf numFmtId="0" fontId="9" fillId="11" borderId="0" xfId="1" applyFont="1" applyFill="1" applyBorder="1" applyAlignment="1" applyProtection="1">
      <protection hidden="1"/>
    </xf>
    <xf numFmtId="0" fontId="26" fillId="11" borderId="0" xfId="1" applyFont="1" applyFill="1" applyBorder="1" applyAlignment="1" applyProtection="1">
      <alignment horizontal="right" vertical="top"/>
      <protection hidden="1"/>
    </xf>
    <xf numFmtId="0" fontId="26" fillId="11" borderId="0" xfId="1" applyFont="1" applyFill="1" applyBorder="1" applyAlignment="1" applyProtection="1">
      <alignment horizontal="right"/>
      <protection hidden="1"/>
    </xf>
    <xf numFmtId="0" fontId="9" fillId="12" borderId="0" xfId="1" applyFont="1" applyFill="1" applyBorder="1" applyAlignment="1" applyProtection="1">
      <alignment horizontal="right"/>
      <protection hidden="1"/>
    </xf>
    <xf numFmtId="0" fontId="9" fillId="12" borderId="0" xfId="1" applyFont="1" applyFill="1" applyBorder="1" applyAlignment="1" applyProtection="1">
      <protection hidden="1"/>
    </xf>
    <xf numFmtId="0" fontId="26" fillId="12" borderId="0" xfId="1" applyFont="1" applyFill="1" applyBorder="1" applyAlignment="1" applyProtection="1">
      <alignment horizontal="right"/>
      <protection hidden="1"/>
    </xf>
    <xf numFmtId="0" fontId="26" fillId="12" borderId="0" xfId="1" applyFont="1" applyFill="1" applyBorder="1" applyAlignment="1" applyProtection="1">
      <protection hidden="1"/>
    </xf>
    <xf numFmtId="0" fontId="9" fillId="12" borderId="0" xfId="1" applyFont="1" applyFill="1" applyBorder="1" applyAlignment="1" applyProtection="1">
      <alignment horizontal="right" vertical="center"/>
      <protection hidden="1"/>
    </xf>
    <xf numFmtId="0" fontId="5" fillId="6" borderId="0" xfId="1" applyFont="1" applyFill="1" applyBorder="1" applyAlignment="1" applyProtection="1">
      <alignment horizontal="left"/>
      <protection hidden="1"/>
    </xf>
    <xf numFmtId="0" fontId="9" fillId="11" borderId="0" xfId="1" applyFont="1" applyFill="1" applyBorder="1" applyAlignment="1" applyProtection="1">
      <alignment vertical="top" wrapText="1"/>
      <protection hidden="1"/>
    </xf>
    <xf numFmtId="0" fontId="16" fillId="6" borderId="0" xfId="1" applyFont="1" applyFill="1" applyBorder="1" applyAlignment="1" applyProtection="1">
      <alignment wrapText="1"/>
      <protection hidden="1"/>
    </xf>
    <xf numFmtId="0" fontId="0" fillId="6" borderId="0" xfId="0" applyFill="1" applyBorder="1" applyAlignment="1" applyProtection="1">
      <protection hidden="1"/>
    </xf>
    <xf numFmtId="0" fontId="9" fillId="12" borderId="0" xfId="1" applyFont="1" applyFill="1" applyBorder="1" applyAlignment="1" applyProtection="1">
      <alignment vertical="top" wrapText="1"/>
      <protection hidden="1"/>
    </xf>
    <xf numFmtId="0" fontId="14" fillId="12" borderId="0" xfId="0" applyFont="1" applyFill="1" applyBorder="1" applyAlignment="1" applyProtection="1">
      <alignment vertical="top" wrapText="1"/>
      <protection hidden="1"/>
    </xf>
    <xf numFmtId="0" fontId="26" fillId="6" borderId="0" xfId="1" applyFont="1" applyFill="1" applyBorder="1" applyAlignment="1" applyProtection="1">
      <alignment horizontal="right" vertical="center"/>
      <protection hidden="1"/>
    </xf>
    <xf numFmtId="0" fontId="9" fillId="6" borderId="0" xfId="1" applyFont="1" applyFill="1" applyBorder="1" applyAlignment="1" applyProtection="1">
      <alignment vertical="center" wrapText="1"/>
      <protection hidden="1"/>
    </xf>
    <xf numFmtId="0" fontId="36" fillId="11" borderId="0" xfId="1" applyFont="1" applyFill="1" applyBorder="1" applyAlignment="1" applyProtection="1">
      <alignment horizontal="right" vertical="top"/>
      <protection hidden="1"/>
    </xf>
    <xf numFmtId="0" fontId="35" fillId="11" borderId="0" xfId="1" applyFont="1" applyFill="1" applyBorder="1" applyAlignment="1" applyProtection="1">
      <alignment vertical="top" wrapText="1"/>
      <protection hidden="1"/>
    </xf>
    <xf numFmtId="0" fontId="34" fillId="11" borderId="0" xfId="0" applyFont="1" applyFill="1" applyBorder="1" applyAlignment="1" applyProtection="1">
      <alignment vertical="top" wrapText="1"/>
      <protection hidden="1"/>
    </xf>
    <xf numFmtId="0" fontId="9" fillId="11" borderId="0" xfId="1" applyFont="1" applyFill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4" fillId="9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11" borderId="0" xfId="0" applyFont="1" applyFill="1" applyAlignment="1" applyProtection="1">
      <alignment vertical="top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37" fillId="0" borderId="0" xfId="0" applyFont="1" applyFill="1" applyAlignment="1" applyProtection="1">
      <protection hidden="1"/>
    </xf>
    <xf numFmtId="0" fontId="38" fillId="0" borderId="0" xfId="1" applyFont="1" applyFill="1" applyAlignment="1" applyProtection="1">
      <protection hidden="1"/>
    </xf>
    <xf numFmtId="0" fontId="39" fillId="0" borderId="0" xfId="0" applyFont="1" applyFill="1" applyAlignment="1" applyProtection="1">
      <protection hidden="1"/>
    </xf>
    <xf numFmtId="0" fontId="40" fillId="0" borderId="0" xfId="1" applyFont="1" applyFill="1" applyAlignment="1" applyProtection="1">
      <protection hidden="1"/>
    </xf>
    <xf numFmtId="0" fontId="38" fillId="0" borderId="0" xfId="1" quotePrefix="1" applyFont="1" applyFill="1" applyAlignment="1" applyProtection="1"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38" fillId="0" borderId="0" xfId="1" applyFont="1" applyFill="1" applyAlignment="1" applyProtection="1">
      <alignment horizontal="right"/>
      <protection hidden="1"/>
    </xf>
    <xf numFmtId="168" fontId="38" fillId="0" borderId="0" xfId="1" applyNumberFormat="1" applyFont="1" applyFill="1" applyAlignment="1" applyProtection="1">
      <protection hidden="1"/>
    </xf>
    <xf numFmtId="0" fontId="41" fillId="0" borderId="0" xfId="0" applyFont="1" applyFill="1" applyAlignment="1" applyProtection="1">
      <protection hidden="1"/>
    </xf>
    <xf numFmtId="164" fontId="41" fillId="0" borderId="0" xfId="0" applyNumberFormat="1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horizontal="right" vertical="center"/>
      <protection hidden="1"/>
    </xf>
    <xf numFmtId="0" fontId="40" fillId="0" borderId="0" xfId="1" applyFont="1" applyFill="1" applyAlignment="1" applyProtection="1">
      <alignment horizontal="center" vertical="center"/>
      <protection hidden="1"/>
    </xf>
    <xf numFmtId="0" fontId="40" fillId="0" borderId="0" xfId="1" applyFont="1" applyFill="1" applyAlignment="1" applyProtection="1">
      <alignment horizontal="left"/>
      <protection hidden="1"/>
    </xf>
    <xf numFmtId="0" fontId="40" fillId="0" borderId="0" xfId="1" applyFont="1" applyFill="1" applyAlignment="1" applyProtection="1">
      <alignment horizontal="center"/>
      <protection hidden="1"/>
    </xf>
    <xf numFmtId="168" fontId="41" fillId="0" borderId="0" xfId="0" applyNumberFormat="1" applyFont="1" applyFill="1" applyAlignment="1" applyProtection="1">
      <alignment vertical="center"/>
      <protection hidden="1"/>
    </xf>
    <xf numFmtId="168" fontId="37" fillId="0" borderId="0" xfId="0" applyNumberFormat="1" applyFont="1" applyFill="1" applyAlignment="1" applyProtection="1">
      <alignment vertical="center"/>
      <protection hidden="1"/>
    </xf>
    <xf numFmtId="0" fontId="37" fillId="0" borderId="0" xfId="0" applyFont="1" applyFill="1" applyAlignment="1" applyProtection="1">
      <alignment horizontal="left" vertical="center"/>
      <protection hidden="1"/>
    </xf>
    <xf numFmtId="0" fontId="41" fillId="0" borderId="0" xfId="0" applyFont="1" applyFill="1" applyProtection="1">
      <protection hidden="1"/>
    </xf>
    <xf numFmtId="0" fontId="37" fillId="0" borderId="0" xfId="0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Alignment="1" applyProtection="1">
      <alignment horizontal="right"/>
      <protection hidden="1"/>
    </xf>
    <xf numFmtId="164" fontId="37" fillId="0" borderId="0" xfId="0" applyNumberFormat="1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horizontal="center" vertical="center"/>
      <protection hidden="1"/>
    </xf>
    <xf numFmtId="0" fontId="37" fillId="0" borderId="0" xfId="0" applyFont="1" applyFill="1" applyProtection="1">
      <protection hidden="1"/>
    </xf>
    <xf numFmtId="164" fontId="41" fillId="0" borderId="0" xfId="0" applyNumberFormat="1" applyFont="1" applyFill="1" applyAlignment="1" applyProtection="1">
      <protection hidden="1"/>
    </xf>
    <xf numFmtId="0" fontId="37" fillId="0" borderId="0" xfId="0" applyFont="1" applyFill="1" applyAlignment="1" applyProtection="1">
      <alignment horizontal="center"/>
      <protection hidden="1"/>
    </xf>
    <xf numFmtId="164" fontId="38" fillId="0" borderId="0" xfId="1" applyNumberFormat="1" applyFont="1" applyFill="1" applyAlignment="1" applyProtection="1">
      <protection hidden="1"/>
    </xf>
    <xf numFmtId="164" fontId="37" fillId="0" borderId="0" xfId="0" applyNumberFormat="1" applyFont="1" applyFill="1" applyAlignment="1" applyProtection="1">
      <protection hidden="1"/>
    </xf>
    <xf numFmtId="164" fontId="40" fillId="0" borderId="0" xfId="1" applyNumberFormat="1" applyFont="1" applyFill="1" applyAlignment="1" applyProtection="1">
      <protection hidden="1"/>
    </xf>
    <xf numFmtId="0" fontId="40" fillId="0" borderId="0" xfId="1" applyFont="1" applyFill="1" applyAlignment="1" applyProtection="1">
      <alignment horizontal="right"/>
      <protection hidden="1"/>
    </xf>
    <xf numFmtId="164" fontId="37" fillId="0" borderId="0" xfId="0" applyNumberFormat="1" applyFont="1" applyFill="1" applyAlignment="1" applyProtection="1">
      <alignment horizontal="right" vertical="center"/>
      <protection hidden="1"/>
    </xf>
    <xf numFmtId="164" fontId="41" fillId="0" borderId="0" xfId="0" applyNumberFormat="1" applyFont="1" applyFill="1" applyProtection="1">
      <protection hidden="1"/>
    </xf>
    <xf numFmtId="4" fontId="41" fillId="0" borderId="0" xfId="0" applyNumberFormat="1" applyFont="1" applyFill="1" applyAlignment="1" applyProtection="1">
      <alignment vertical="center"/>
      <protection hidden="1"/>
    </xf>
    <xf numFmtId="4" fontId="37" fillId="0" borderId="0" xfId="0" applyNumberFormat="1" applyFont="1" applyFill="1" applyAlignment="1" applyProtection="1">
      <alignment vertical="center"/>
      <protection hidden="1"/>
    </xf>
    <xf numFmtId="168" fontId="40" fillId="0" borderId="0" xfId="1" applyNumberFormat="1" applyFont="1" applyFill="1" applyAlignment="1" applyProtection="1">
      <protection hidden="1"/>
    </xf>
    <xf numFmtId="0" fontId="38" fillId="0" borderId="0" xfId="1" applyFont="1" applyFill="1" applyAlignment="1" applyProtection="1">
      <alignment horizontal="left"/>
      <protection hidden="1"/>
    </xf>
  </cellXfs>
  <cellStyles count="3">
    <cellStyle name="Excel Built-in Normal" xfId="1"/>
    <cellStyle name="Hyperlinkki" xfId="2" builtinId="8"/>
    <cellStyle name="Normaali" xfId="0" builtinId="0"/>
  </cellStyles>
  <dxfs count="81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99CCFF"/>
      <color rgb="FFFF66FF"/>
      <color rgb="FF0099FF"/>
      <color rgb="FFFFFF00"/>
      <color rgb="FFCCFFFF"/>
      <color rgb="FFCCECFF"/>
      <color rgb="FFFFFFCC"/>
      <color rgb="FFCCFFCC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Grafiikka_Grafik!$F$27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Grafiikka_Grafik!$C$27</c:f>
            </c:strRef>
          </c:cat>
          <c:val>
            <c:numRef>
              <c:f>Grafiikka_Grafik!$C$28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B-4714-854B-D100C19B04D6}"/>
            </c:ext>
          </c:extLst>
        </c:ser>
        <c:ser>
          <c:idx val="1"/>
          <c:order val="1"/>
          <c:tx>
            <c:strRef>
              <c:f>Grafiikka_Grafik!$A$29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Grafiikka_Grafik!$C$27</c:f>
            </c:strRef>
          </c:cat>
          <c:val>
            <c:numRef>
              <c:f>Grafiikka_Grafik!$C$29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B-4714-854B-D100C19B04D6}"/>
            </c:ext>
          </c:extLst>
        </c:ser>
        <c:ser>
          <c:idx val="2"/>
          <c:order val="2"/>
          <c:tx>
            <c:strRef>
              <c:f>Grafiikka_Grafik!$A$30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Grafiikka_Grafik!$C$27</c:f>
            </c:strRef>
          </c:cat>
          <c:val>
            <c:numRef>
              <c:f>Grafiikka_Grafik!$C$30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B-4714-854B-D100C19B04D6}"/>
            </c:ext>
          </c:extLst>
        </c:ser>
        <c:ser>
          <c:idx val="3"/>
          <c:order val="3"/>
          <c:tx>
            <c:strRef>
              <c:f>Grafiikka_Grafik!$A$31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Grafiikka_Grafik!$C$27</c:f>
            </c:strRef>
          </c:cat>
          <c:val>
            <c:numRef>
              <c:f>Grafiikka_Grafik!$C$31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B-4714-854B-D100C19B0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886008"/>
        <c:axId val="568886664"/>
      </c:barChart>
      <c:catAx>
        <c:axId val="568886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8886664"/>
        <c:crosses val="autoZero"/>
        <c:auto val="1"/>
        <c:lblAlgn val="ctr"/>
        <c:lblOffset val="100"/>
        <c:noMultiLvlLbl val="0"/>
      </c:catAx>
      <c:valAx>
        <c:axId val="56888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12628072653709"/>
          <c:y val="0.12461942257217848"/>
          <c:w val="0.84141967719151389"/>
          <c:h val="0.43769028871391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Grafiikka_Grafik!$A$70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Grafiikka_Grafik!$B$70:$C$70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6-40FA-822C-FF7DDCA6942E}"/>
            </c:ext>
          </c:extLst>
        </c:ser>
        <c:ser>
          <c:idx val="1"/>
          <c:order val="1"/>
          <c:tx>
            <c:strRef>
              <c:f>Grafiikka_Grafik!$A$71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Grafiikka_Grafik!$B$71:$C$71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6-40FA-822C-FF7DDCA6942E}"/>
            </c:ext>
          </c:extLst>
        </c:ser>
        <c:ser>
          <c:idx val="2"/>
          <c:order val="2"/>
          <c:tx>
            <c:strRef>
              <c:f>Grafiikka_Grafik!$A$72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Grafiikka_Grafik!$B$72:$C$72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6-40FA-822C-FF7DDCA6942E}"/>
            </c:ext>
          </c:extLst>
        </c:ser>
        <c:ser>
          <c:idx val="3"/>
          <c:order val="3"/>
          <c:tx>
            <c:strRef>
              <c:f>Grafiikka_Grafik!$A$73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Grafiikka_Grafik!$B$73:$C$73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F6-40FA-822C-FF7DDCA6942E}"/>
            </c:ext>
          </c:extLst>
        </c:ser>
        <c:ser>
          <c:idx val="4"/>
          <c:order val="4"/>
          <c:tx>
            <c:strRef>
              <c:f>Grafiikka_Grafik!$A$74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Grafiikka_Grafik!$B$74:$C$74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F6-40FA-822C-FF7DDCA69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624328"/>
        <c:axId val="666622688"/>
      </c:barChart>
      <c:catAx>
        <c:axId val="66662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2688"/>
        <c:crosses val="autoZero"/>
        <c:auto val="1"/>
        <c:lblAlgn val="ctr"/>
        <c:lblOffset val="100"/>
        <c:noMultiLvlLbl val="0"/>
      </c:catAx>
      <c:valAx>
        <c:axId val="666622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4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Grafiikka_Grafik!$E$266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Grafiikka_Grafik!$A$267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Grafiikka_Grafik!$B$267:$C$267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E-497B-9E40-F1270841EB26}"/>
            </c:ext>
          </c:extLst>
        </c:ser>
        <c:ser>
          <c:idx val="1"/>
          <c:order val="1"/>
          <c:tx>
            <c:strRef>
              <c:f>Grafiikka_Grafik!$A$268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Grafiikka_Grafik!$B$268:$C$268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E-497B-9E40-F1270841EB26}"/>
            </c:ext>
          </c:extLst>
        </c:ser>
        <c:ser>
          <c:idx val="2"/>
          <c:order val="2"/>
          <c:tx>
            <c:strRef>
              <c:f>Grafiikka_Grafik!$A$269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Grafiikka_Grafik!$B$269:$C$269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E-497B-9E40-F1270841EB26}"/>
            </c:ext>
          </c:extLst>
        </c:ser>
        <c:ser>
          <c:idx val="3"/>
          <c:order val="3"/>
          <c:tx>
            <c:strRef>
              <c:f>Grafiikka_Grafik!$A$270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Grafiikka_Grafik!$B$270:$C$270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E-497B-9E40-F1270841EB26}"/>
            </c:ext>
          </c:extLst>
        </c:ser>
        <c:ser>
          <c:idx val="4"/>
          <c:order val="4"/>
          <c:tx>
            <c:strRef>
              <c:f>Grafiikka_Grafik!$A$271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Grafiikka_Grafik!$B$271:$C$271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E-497B-9E40-F1270841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443248"/>
        <c:axId val="754436688"/>
      </c:barChart>
      <c:catAx>
        <c:axId val="7544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436688"/>
        <c:crosses val="autoZero"/>
        <c:auto val="1"/>
        <c:lblAlgn val="ctr"/>
        <c:lblOffset val="100"/>
        <c:noMultiLvlLbl val="0"/>
      </c:catAx>
      <c:valAx>
        <c:axId val="75443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4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Grafiikka_Grafik!$E$266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Grafiikka_Grafik!$A$267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Grafiikka_Grafik!$C$267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5-4B21-B751-25788FCED1B1}"/>
            </c:ext>
          </c:extLst>
        </c:ser>
        <c:ser>
          <c:idx val="1"/>
          <c:order val="1"/>
          <c:tx>
            <c:strRef>
              <c:f>Grafiikka_Grafik!$A$268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Grafiikka_Grafik!$C$268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5-4B21-B751-25788FCED1B1}"/>
            </c:ext>
          </c:extLst>
        </c:ser>
        <c:ser>
          <c:idx val="2"/>
          <c:order val="2"/>
          <c:tx>
            <c:strRef>
              <c:f>Grafiikka_Grafik!$A$269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Grafiikka_Grafik!$C$269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5-4B21-B751-25788FCED1B1}"/>
            </c:ext>
          </c:extLst>
        </c:ser>
        <c:ser>
          <c:idx val="3"/>
          <c:order val="3"/>
          <c:tx>
            <c:strRef>
              <c:f>Grafiikka_Grafik!$A$270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Grafiikka_Grafik!$C$270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5-4B21-B751-25788FCED1B1}"/>
            </c:ext>
          </c:extLst>
        </c:ser>
        <c:ser>
          <c:idx val="4"/>
          <c:order val="4"/>
          <c:tx>
            <c:strRef>
              <c:f>Grafiikka_Grafik!$A$271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Grafiikka_Grafik!$C$271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5-4B21-B751-25788FCED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443248"/>
        <c:axId val="754436688"/>
      </c:barChart>
      <c:catAx>
        <c:axId val="7544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436688"/>
        <c:crosses val="autoZero"/>
        <c:auto val="1"/>
        <c:lblAlgn val="ctr"/>
        <c:lblOffset val="100"/>
        <c:noMultiLvlLbl val="0"/>
      </c:catAx>
      <c:valAx>
        <c:axId val="75443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4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Grafiikka_Grafik!$E$266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Grafiikka_Grafik!$A$267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Grafiikka_Grafik!$B$267:$C$267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D-4BE1-B2DF-4DA38AC5FC94}"/>
            </c:ext>
          </c:extLst>
        </c:ser>
        <c:ser>
          <c:idx val="1"/>
          <c:order val="1"/>
          <c:tx>
            <c:strRef>
              <c:f>Grafiikka_Grafik!$A$268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Grafiikka_Grafik!$B$268:$C$268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D-4BE1-B2DF-4DA38AC5FC94}"/>
            </c:ext>
          </c:extLst>
        </c:ser>
        <c:ser>
          <c:idx val="2"/>
          <c:order val="2"/>
          <c:tx>
            <c:strRef>
              <c:f>Grafiikka_Grafik!$A$269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Grafiikka_Grafik!$B$269:$C$269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D-4BE1-B2DF-4DA38AC5FC94}"/>
            </c:ext>
          </c:extLst>
        </c:ser>
        <c:ser>
          <c:idx val="3"/>
          <c:order val="3"/>
          <c:tx>
            <c:strRef>
              <c:f>Grafiikka_Grafik!$A$270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Grafiikka_Grafik!$B$270:$C$270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D-4BE1-B2DF-4DA38AC5FC94}"/>
            </c:ext>
          </c:extLst>
        </c:ser>
        <c:ser>
          <c:idx val="4"/>
          <c:order val="4"/>
          <c:tx>
            <c:strRef>
              <c:f>Grafiikka_Grafik!$A$271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Grafiikka_Grafik!$B$266:$C$266</c:f>
            </c:multiLvlStrRef>
          </c:cat>
          <c:val>
            <c:numRef>
              <c:f>Grafiikka_Grafik!$B$271:$C$271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D-4BE1-B2DF-4DA38AC5F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443248"/>
        <c:axId val="754436688"/>
      </c:barChart>
      <c:catAx>
        <c:axId val="75444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4436688"/>
        <c:crosses val="autoZero"/>
        <c:auto val="1"/>
        <c:lblAlgn val="ctr"/>
        <c:lblOffset val="100"/>
        <c:noMultiLvlLbl val="0"/>
      </c:catAx>
      <c:valAx>
        <c:axId val="75443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443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Grafiikka_Grafik!$E$266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Grafiikka_Grafik!$A$267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Grafiikka_Grafik!$C$267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6-4A3F-B700-DE95211A2D4E}"/>
            </c:ext>
          </c:extLst>
        </c:ser>
        <c:ser>
          <c:idx val="1"/>
          <c:order val="1"/>
          <c:tx>
            <c:strRef>
              <c:f>Grafiikka_Grafik!$A$268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Grafiikka_Grafik!$C$268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6-4A3F-B700-DE95211A2D4E}"/>
            </c:ext>
          </c:extLst>
        </c:ser>
        <c:ser>
          <c:idx val="2"/>
          <c:order val="2"/>
          <c:tx>
            <c:strRef>
              <c:f>Grafiikka_Grafik!$A$269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Grafiikka_Grafik!$C$269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6-4A3F-B700-DE95211A2D4E}"/>
            </c:ext>
          </c:extLst>
        </c:ser>
        <c:ser>
          <c:idx val="3"/>
          <c:order val="3"/>
          <c:tx>
            <c:strRef>
              <c:f>Grafiikka_Grafik!$A$270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Grafiikka_Grafik!$C$270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6-4A3F-B700-DE95211A2D4E}"/>
            </c:ext>
          </c:extLst>
        </c:ser>
        <c:ser>
          <c:idx val="4"/>
          <c:order val="4"/>
          <c:tx>
            <c:strRef>
              <c:f>Grafiikka_Grafik!$A$271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Grafiikka_Grafik!$C$266</c:f>
            </c:multiLvlStrRef>
          </c:cat>
          <c:val>
            <c:numRef>
              <c:f>Grafiikka_Grafik!$C$271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6-4A3F-B700-DE95211A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4443248"/>
        <c:axId val="754436688"/>
      </c:barChart>
      <c:catAx>
        <c:axId val="75444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4436688"/>
        <c:crosses val="autoZero"/>
        <c:auto val="1"/>
        <c:lblAlgn val="ctr"/>
        <c:lblOffset val="100"/>
        <c:noMultiLvlLbl val="0"/>
      </c:catAx>
      <c:valAx>
        <c:axId val="75443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443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Grafiikka_Grafik!$E$313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Grafiikka_Grafik!$A$314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Grafiikka_Grafik!$B$313:$C$313</c:f>
            </c:multiLvlStrRef>
          </c:cat>
          <c:val>
            <c:numRef>
              <c:f>Grafiikka_Grafik!$B$314:$C$314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0-4CAF-AF3A-E4C85D8F02BA}"/>
            </c:ext>
          </c:extLst>
        </c:ser>
        <c:ser>
          <c:idx val="1"/>
          <c:order val="1"/>
          <c:tx>
            <c:strRef>
              <c:f>Grafiikka_Grafik!$A$315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Grafiikka_Grafik!$B$313:$C$313</c:f>
            </c:multiLvlStrRef>
          </c:cat>
          <c:val>
            <c:numRef>
              <c:f>Grafiikka_Grafik!$B$315:$C$315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0-4CAF-AF3A-E4C85D8F02BA}"/>
            </c:ext>
          </c:extLst>
        </c:ser>
        <c:ser>
          <c:idx val="2"/>
          <c:order val="2"/>
          <c:tx>
            <c:strRef>
              <c:f>Grafiikka_Grafik!$A$316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Grafiikka_Grafik!$B$313:$C$313</c:f>
            </c:multiLvlStrRef>
          </c:cat>
          <c:val>
            <c:numRef>
              <c:f>Grafiikka_Grafik!$B$316:$C$316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0-4CAF-AF3A-E4C85D8F0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269352"/>
        <c:axId val="628266400"/>
      </c:barChart>
      <c:catAx>
        <c:axId val="62826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8266400"/>
        <c:crosses val="autoZero"/>
        <c:auto val="1"/>
        <c:lblAlgn val="ctr"/>
        <c:lblOffset val="100"/>
        <c:noMultiLvlLbl val="0"/>
      </c:catAx>
      <c:valAx>
        <c:axId val="628266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826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Grafiikka_Grafik!$E$172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Grafiikka_Grafik!$C$172</c:f>
            </c:multiLvlStrRef>
          </c:cat>
          <c:val>
            <c:numRef>
              <c:f>Grafiikka_Grafik!$C$173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F-4715-9F01-C7F1A8FDADE2}"/>
            </c:ext>
          </c:extLst>
        </c:ser>
        <c:ser>
          <c:idx val="1"/>
          <c:order val="1"/>
          <c:tx>
            <c:strRef>
              <c:f>Grafiikka_Grafik!$A$174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Grafiikka_Grafik!$C$172</c:f>
            </c:multiLvlStrRef>
          </c:cat>
          <c:val>
            <c:numRef>
              <c:f>Grafiikka_Grafik!$C$174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F-4715-9F01-C7F1A8FDADE2}"/>
            </c:ext>
          </c:extLst>
        </c:ser>
        <c:ser>
          <c:idx val="2"/>
          <c:order val="2"/>
          <c:tx>
            <c:strRef>
              <c:f>Grafiikka_Grafik!$A$175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Grafiikka_Grafik!$C$172</c:f>
            </c:multiLvlStrRef>
          </c:cat>
          <c:val>
            <c:numRef>
              <c:f>Grafiikka_Grafik!$C$175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F-4715-9F01-C7F1A8FD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97056"/>
        <c:axId val="696497384"/>
      </c:barChart>
      <c:catAx>
        <c:axId val="696497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6497384"/>
        <c:crosses val="autoZero"/>
        <c:auto val="1"/>
        <c:lblAlgn val="ctr"/>
        <c:lblOffset val="100"/>
        <c:noMultiLvlLbl val="0"/>
      </c:catAx>
      <c:valAx>
        <c:axId val="696497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649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Grafiikka_Grafik!$E$171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Grafiikka_Grafik!$C$172</c:f>
            </c:multiLvlStrRef>
          </c:cat>
          <c:val>
            <c:numRef>
              <c:f>Grafiikka_Grafik!$C$173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D-4A2E-B242-6A8B23280EF2}"/>
            </c:ext>
          </c:extLst>
        </c:ser>
        <c:ser>
          <c:idx val="1"/>
          <c:order val="1"/>
          <c:tx>
            <c:strRef>
              <c:f>Grafiikka_Grafik!$A$174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Grafiikka_Grafik!$C$172</c:f>
            </c:multiLvlStrRef>
          </c:cat>
          <c:val>
            <c:numRef>
              <c:f>Grafiikka_Grafik!$C$174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D-4A2E-B242-6A8B23280EF2}"/>
            </c:ext>
          </c:extLst>
        </c:ser>
        <c:ser>
          <c:idx val="2"/>
          <c:order val="2"/>
          <c:tx>
            <c:strRef>
              <c:f>Grafiikka_Grafik!$A$175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Grafiikka_Grafik!$C$172</c:f>
            </c:multiLvlStrRef>
          </c:cat>
          <c:val>
            <c:numRef>
              <c:f>Grafiikka_Grafik!$C$175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D-4A2E-B242-6A8B23280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97056"/>
        <c:axId val="696497384"/>
      </c:barChart>
      <c:catAx>
        <c:axId val="696497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6497384"/>
        <c:crosses val="autoZero"/>
        <c:auto val="1"/>
        <c:lblAlgn val="ctr"/>
        <c:lblOffset val="100"/>
        <c:noMultiLvlLbl val="0"/>
      </c:catAx>
      <c:valAx>
        <c:axId val="696497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6497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Grafiikka_Grafik!$E$314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Grafiikka_Grafik!$A$314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Grafiikka_Grafik!$C$313</c:f>
            </c:multiLvlStrRef>
          </c:cat>
          <c:val>
            <c:numRef>
              <c:f>Grafiikka_Grafik!$C$314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02C-BDB2-0CBC1178D0C7}"/>
            </c:ext>
          </c:extLst>
        </c:ser>
        <c:ser>
          <c:idx val="1"/>
          <c:order val="1"/>
          <c:tx>
            <c:strRef>
              <c:f>Grafiikka_Grafik!$A$315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Grafiikka_Grafik!$C$313</c:f>
            </c:multiLvlStrRef>
          </c:cat>
          <c:val>
            <c:numRef>
              <c:f>Grafiikka_Grafik!$C$315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02C-BDB2-0CBC1178D0C7}"/>
            </c:ext>
          </c:extLst>
        </c:ser>
        <c:ser>
          <c:idx val="2"/>
          <c:order val="2"/>
          <c:tx>
            <c:strRef>
              <c:f>Grafiikka_Grafik!$A$316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Grafiikka_Grafik!$C$313</c:f>
            </c:multiLvlStrRef>
          </c:cat>
          <c:val>
            <c:numRef>
              <c:f>Grafiikka_Grafik!$C$316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A-402C-BDB2-0CBC1178D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269352"/>
        <c:axId val="628266400"/>
      </c:barChart>
      <c:catAx>
        <c:axId val="628269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8266400"/>
        <c:crosses val="autoZero"/>
        <c:auto val="1"/>
        <c:lblAlgn val="ctr"/>
        <c:lblOffset val="100"/>
        <c:noMultiLvlLbl val="0"/>
      </c:catAx>
      <c:valAx>
        <c:axId val="628266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826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Grafiikka_Grafik!$E$313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Grafiikka_Grafik!$A$314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Grafiikka_Grafik!$B$313:$C$313</c:f>
            </c:multiLvlStrRef>
          </c:cat>
          <c:val>
            <c:numRef>
              <c:f>Grafiikka_Grafik!$B$314:$C$314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E-4B01-AFBD-37CC03F141C4}"/>
            </c:ext>
          </c:extLst>
        </c:ser>
        <c:ser>
          <c:idx val="1"/>
          <c:order val="1"/>
          <c:tx>
            <c:strRef>
              <c:f>Grafiikka_Grafik!$A$315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Grafiikka_Grafik!$B$313:$C$313</c:f>
            </c:multiLvlStrRef>
          </c:cat>
          <c:val>
            <c:numRef>
              <c:f>Grafiikka_Grafik!$B$315:$C$315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E-4B01-AFBD-37CC03F141C4}"/>
            </c:ext>
          </c:extLst>
        </c:ser>
        <c:ser>
          <c:idx val="2"/>
          <c:order val="2"/>
          <c:tx>
            <c:strRef>
              <c:f>Grafiikka_Grafik!$A$316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Grafiikka_Grafik!$B$313:$C$313</c:f>
            </c:multiLvlStrRef>
          </c:cat>
          <c:val>
            <c:numRef>
              <c:f>Grafiikka_Grafik!$B$316:$C$316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E-4B01-AFBD-37CC03F14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269352"/>
        <c:axId val="628266400"/>
      </c:barChart>
      <c:catAx>
        <c:axId val="628269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8266400"/>
        <c:crosses val="autoZero"/>
        <c:auto val="1"/>
        <c:lblAlgn val="ctr"/>
        <c:lblOffset val="100"/>
        <c:noMultiLvlLbl val="0"/>
      </c:catAx>
      <c:valAx>
        <c:axId val="628266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8269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Grafiikka_Grafik!$E$314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Grafiikka_Grafik!$A$314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Grafiikka_Grafik!$C$313</c:f>
            </c:multiLvlStrRef>
          </c:cat>
          <c:val>
            <c:numRef>
              <c:f>Grafiikka_Grafik!$C$314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C-434A-A071-8017075867F2}"/>
            </c:ext>
          </c:extLst>
        </c:ser>
        <c:ser>
          <c:idx val="1"/>
          <c:order val="1"/>
          <c:tx>
            <c:strRef>
              <c:f>Grafiikka_Grafik!$A$315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Grafiikka_Grafik!$C$313</c:f>
            </c:multiLvlStrRef>
          </c:cat>
          <c:val>
            <c:numRef>
              <c:f>Grafiikka_Grafik!$C$315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C-434A-A071-8017075867F2}"/>
            </c:ext>
          </c:extLst>
        </c:ser>
        <c:ser>
          <c:idx val="2"/>
          <c:order val="2"/>
          <c:tx>
            <c:strRef>
              <c:f>Grafiikka_Grafik!$A$316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Grafiikka_Grafik!$C$313</c:f>
            </c:multiLvlStrRef>
          </c:cat>
          <c:val>
            <c:numRef>
              <c:f>Grafiikka_Grafik!$C$316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C-434A-A071-80170758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269352"/>
        <c:axId val="628266400"/>
      </c:barChart>
      <c:catAx>
        <c:axId val="628269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8266400"/>
        <c:crosses val="autoZero"/>
        <c:auto val="1"/>
        <c:lblAlgn val="ctr"/>
        <c:lblOffset val="100"/>
        <c:noMultiLvlLbl val="0"/>
      </c:catAx>
      <c:valAx>
        <c:axId val="628266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28269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12628072653709"/>
          <c:y val="0.17488521579430674"/>
          <c:w val="0.84141967719151389"/>
          <c:h val="0.69378066872075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Grafiikka_Grafik!$A$70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Grafiikka_Grafik!$C$69</c:f>
            </c:multiLvlStrRef>
          </c:cat>
          <c:val>
            <c:numRef>
              <c:f>Grafiikka_Grafik!$C$70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3-4C8F-A297-A683482C3E28}"/>
            </c:ext>
          </c:extLst>
        </c:ser>
        <c:ser>
          <c:idx val="1"/>
          <c:order val="1"/>
          <c:tx>
            <c:strRef>
              <c:f>Grafiikka_Grafik!$A$71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Grafiikka_Grafik!$C$69</c:f>
            </c:multiLvlStrRef>
          </c:cat>
          <c:val>
            <c:numRef>
              <c:f>Grafiikka_Grafik!$C$71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3-4C8F-A297-A683482C3E28}"/>
            </c:ext>
          </c:extLst>
        </c:ser>
        <c:ser>
          <c:idx val="2"/>
          <c:order val="2"/>
          <c:tx>
            <c:strRef>
              <c:f>Grafiikka_Grafik!$A$72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Grafiikka_Grafik!$C$69</c:f>
            </c:multiLvlStrRef>
          </c:cat>
          <c:val>
            <c:numRef>
              <c:f>Grafiikka_Grafik!$C$72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3-4C8F-A297-A683482C3E28}"/>
            </c:ext>
          </c:extLst>
        </c:ser>
        <c:ser>
          <c:idx val="3"/>
          <c:order val="3"/>
          <c:tx>
            <c:strRef>
              <c:f>Grafiikka_Grafik!$A$73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Grafiikka_Grafik!$C$69</c:f>
            </c:multiLvlStrRef>
          </c:cat>
          <c:val>
            <c:numRef>
              <c:f>Grafiikka_Grafik!$C$73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3-4C8F-A297-A683482C3E28}"/>
            </c:ext>
          </c:extLst>
        </c:ser>
        <c:ser>
          <c:idx val="4"/>
          <c:order val="4"/>
          <c:tx>
            <c:strRef>
              <c:f>Grafiikka_Grafik!$A$74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Grafiikka_Grafik!$C$69</c:f>
            </c:multiLvlStrRef>
          </c:cat>
          <c:val>
            <c:numRef>
              <c:f>Grafiikka_Grafik!$C$74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33-4C8F-A297-A683482C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624328"/>
        <c:axId val="666622688"/>
      </c:barChart>
      <c:catAx>
        <c:axId val="666624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6622688"/>
        <c:crosses val="autoZero"/>
        <c:auto val="1"/>
        <c:lblAlgn val="ctr"/>
        <c:lblOffset val="100"/>
        <c:noMultiLvlLbl val="0"/>
      </c:catAx>
      <c:valAx>
        <c:axId val="666622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12628072653709"/>
          <c:y val="0.12461942257217848"/>
          <c:w val="0.84141967719151389"/>
          <c:h val="0.43769028871391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Grafiikka_Grafik!$A$70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Grafiikka_Grafik!$C$69</c:f>
            </c:multiLvlStrRef>
          </c:cat>
          <c:val>
            <c:numRef>
              <c:f>Grafiikka_Grafik!$C$70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E-487E-81AA-6A05C14CEA31}"/>
            </c:ext>
          </c:extLst>
        </c:ser>
        <c:ser>
          <c:idx val="1"/>
          <c:order val="1"/>
          <c:tx>
            <c:strRef>
              <c:f>Grafiikka_Grafik!$A$71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Grafiikka_Grafik!$C$69</c:f>
            </c:multiLvlStrRef>
          </c:cat>
          <c:val>
            <c:numRef>
              <c:f>Grafiikka_Grafik!$C$71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E-487E-81AA-6A05C14CEA31}"/>
            </c:ext>
          </c:extLst>
        </c:ser>
        <c:ser>
          <c:idx val="2"/>
          <c:order val="2"/>
          <c:tx>
            <c:strRef>
              <c:f>Grafiikka_Grafik!$A$72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Grafiikka_Grafik!$C$69</c:f>
            </c:multiLvlStrRef>
          </c:cat>
          <c:val>
            <c:numRef>
              <c:f>Grafiikka_Grafik!$C$72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E-487E-81AA-6A05C14CEA31}"/>
            </c:ext>
          </c:extLst>
        </c:ser>
        <c:ser>
          <c:idx val="3"/>
          <c:order val="3"/>
          <c:tx>
            <c:strRef>
              <c:f>Grafiikka_Grafik!$A$73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Grafiikka_Grafik!$C$69</c:f>
            </c:multiLvlStrRef>
          </c:cat>
          <c:val>
            <c:numRef>
              <c:f>Grafiikka_Grafik!$C$73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E-487E-81AA-6A05C14CEA31}"/>
            </c:ext>
          </c:extLst>
        </c:ser>
        <c:ser>
          <c:idx val="4"/>
          <c:order val="4"/>
          <c:tx>
            <c:strRef>
              <c:f>Grafiikka_Grafik!$A$74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Grafiikka_Grafik!$C$69</c:f>
            </c:multiLvlStrRef>
          </c:cat>
          <c:val>
            <c:numRef>
              <c:f>Grafiikka_Grafik!$C$74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E-487E-81AA-6A05C14C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624328"/>
        <c:axId val="666622688"/>
      </c:barChart>
      <c:catAx>
        <c:axId val="66662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2688"/>
        <c:crosses val="autoZero"/>
        <c:auto val="1"/>
        <c:lblAlgn val="ctr"/>
        <c:lblOffset val="100"/>
        <c:noMultiLvlLbl val="0"/>
      </c:catAx>
      <c:valAx>
        <c:axId val="666622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4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Grafiikka_Grafik!$E$108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Grafiikka_Grafik!$B$108:$C$108</c:f>
            </c:multiLvlStrRef>
          </c:cat>
          <c:val>
            <c:numRef>
              <c:f>Grafiikka_Grafik!$B$109:$C$109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8-48BD-9681-B7357061DA21}"/>
            </c:ext>
          </c:extLst>
        </c:ser>
        <c:ser>
          <c:idx val="1"/>
          <c:order val="1"/>
          <c:tx>
            <c:strRef>
              <c:f>Grafiikka_Grafik!$A$110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Grafiikka_Grafik!$B$108:$C$108</c:f>
            </c:multiLvlStrRef>
          </c:cat>
          <c:val>
            <c:numRef>
              <c:f>Grafiikka_Grafik!$B$110:$C$110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8-48BD-9681-B7357061DA21}"/>
            </c:ext>
          </c:extLst>
        </c:ser>
        <c:ser>
          <c:idx val="2"/>
          <c:order val="2"/>
          <c:tx>
            <c:strRef>
              <c:f>Grafiikka_Grafik!$A$111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Grafiikka_Grafik!$B$108:$C$108</c:f>
            </c:multiLvlStrRef>
          </c:cat>
          <c:val>
            <c:numRef>
              <c:f>Grafiikka_Grafik!$B$111:$C$111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8-48BD-9681-B7357061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786688"/>
        <c:axId val="486787016"/>
      </c:barChart>
      <c:catAx>
        <c:axId val="4867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787016"/>
        <c:crosses val="autoZero"/>
        <c:auto val="1"/>
        <c:lblAlgn val="ctr"/>
        <c:lblOffset val="100"/>
        <c:noMultiLvlLbl val="0"/>
      </c:catAx>
      <c:valAx>
        <c:axId val="486787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7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Grafiikka_Grafik!$E$108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Grafiikka_Grafik!$B$108:$C$108</c:f>
            </c:multiLvlStrRef>
          </c:cat>
          <c:val>
            <c:numRef>
              <c:f>Grafiikka_Grafik!$B$109:$C$109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4-40F2-B621-7678785599C2}"/>
            </c:ext>
          </c:extLst>
        </c:ser>
        <c:ser>
          <c:idx val="1"/>
          <c:order val="1"/>
          <c:tx>
            <c:strRef>
              <c:f>Grafiikka_Grafik!$A$110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Grafiikka_Grafik!$B$108:$C$108</c:f>
            </c:multiLvlStrRef>
          </c:cat>
          <c:val>
            <c:numRef>
              <c:f>Grafiikka_Grafik!$B$110:$C$110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4-40F2-B621-7678785599C2}"/>
            </c:ext>
          </c:extLst>
        </c:ser>
        <c:ser>
          <c:idx val="2"/>
          <c:order val="2"/>
          <c:tx>
            <c:strRef>
              <c:f>Grafiikka_Grafik!$A$111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Grafiikka_Grafik!$B$108:$C$108</c:f>
            </c:multiLvlStrRef>
          </c:cat>
          <c:val>
            <c:numRef>
              <c:f>Grafiikka_Grafik!$B$111:$C$111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4-40F2-B621-767878559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786688"/>
        <c:axId val="486787016"/>
      </c:barChart>
      <c:catAx>
        <c:axId val="486786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6787016"/>
        <c:crosses val="autoZero"/>
        <c:auto val="1"/>
        <c:lblAlgn val="ctr"/>
        <c:lblOffset val="100"/>
        <c:noMultiLvlLbl val="0"/>
      </c:catAx>
      <c:valAx>
        <c:axId val="486787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786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Grafiikka_Grafik!$E$128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Grafiikka_Grafik!$C$108</c:f>
            </c:multiLvlStrRef>
          </c:cat>
          <c:val>
            <c:numRef>
              <c:f>Grafiikka_Grafik!$C$109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1-4AFF-991A-D4D4A0BE1B54}"/>
            </c:ext>
          </c:extLst>
        </c:ser>
        <c:ser>
          <c:idx val="1"/>
          <c:order val="1"/>
          <c:tx>
            <c:strRef>
              <c:f>Grafiikka_Grafik!$A$110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Grafiikka_Grafik!$C$108</c:f>
            </c:multiLvlStrRef>
          </c:cat>
          <c:val>
            <c:numRef>
              <c:f>Grafiikka_Grafik!$C$110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1-4AFF-991A-D4D4A0BE1B54}"/>
            </c:ext>
          </c:extLst>
        </c:ser>
        <c:ser>
          <c:idx val="2"/>
          <c:order val="2"/>
          <c:tx>
            <c:strRef>
              <c:f>Grafiikka_Grafik!$A$111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Grafiikka_Grafik!$C$108</c:f>
            </c:multiLvlStrRef>
          </c:cat>
          <c:val>
            <c:numRef>
              <c:f>Grafiikka_Grafik!$C$111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1-4AFF-991A-D4D4A0BE1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786688"/>
        <c:axId val="486787016"/>
      </c:barChart>
      <c:catAx>
        <c:axId val="486786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6787016"/>
        <c:crosses val="autoZero"/>
        <c:auto val="1"/>
        <c:lblAlgn val="ctr"/>
        <c:lblOffset val="100"/>
        <c:noMultiLvlLbl val="0"/>
      </c:catAx>
      <c:valAx>
        <c:axId val="486787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7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Grafiikka_Grafik!$E$128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Grafiikka_Grafik!$A$109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Grafiikka_Grafik!$C$108</c:f>
            </c:multiLvlStrRef>
          </c:cat>
          <c:val>
            <c:numRef>
              <c:f>Grafiikka_Grafik!$C$109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E-4F67-9461-AD75404EF668}"/>
            </c:ext>
          </c:extLst>
        </c:ser>
        <c:ser>
          <c:idx val="1"/>
          <c:order val="1"/>
          <c:tx>
            <c:strRef>
              <c:f>Grafiikka_Grafik!$A$110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Grafiikka_Grafik!$C$108</c:f>
            </c:multiLvlStrRef>
          </c:cat>
          <c:val>
            <c:numRef>
              <c:f>Grafiikka_Grafik!$C$110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E-4F67-9461-AD75404EF668}"/>
            </c:ext>
          </c:extLst>
        </c:ser>
        <c:ser>
          <c:idx val="2"/>
          <c:order val="2"/>
          <c:tx>
            <c:strRef>
              <c:f>Grafiikka_Grafik!$A$111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Grafiikka_Grafik!$C$108</c:f>
            </c:multiLvlStrRef>
          </c:cat>
          <c:val>
            <c:numRef>
              <c:f>Grafiikka_Grafik!$C$111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E-4F67-9461-AD75404EF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786688"/>
        <c:axId val="486787016"/>
      </c:barChart>
      <c:catAx>
        <c:axId val="486786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6787016"/>
        <c:crosses val="autoZero"/>
        <c:auto val="1"/>
        <c:lblAlgn val="ctr"/>
        <c:lblOffset val="100"/>
        <c:noMultiLvlLbl val="0"/>
      </c:catAx>
      <c:valAx>
        <c:axId val="486787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786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Grafiikka_Grafik!$E$150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Grafiikka_Grafik!$B$150:$C$150</c:f>
            </c:multiLvlStrRef>
          </c:cat>
          <c:val>
            <c:numRef>
              <c:f>Grafiikka_Grafik!$B$151:$C$151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6-40C8-B5FF-EC495B28DCD1}"/>
            </c:ext>
          </c:extLst>
        </c:ser>
        <c:ser>
          <c:idx val="1"/>
          <c:order val="1"/>
          <c:tx>
            <c:strRef>
              <c:f>Grafiikka_Grafik!$A$152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Grafiikka_Grafik!$B$150:$C$150</c:f>
            </c:multiLvlStrRef>
          </c:cat>
          <c:val>
            <c:numRef>
              <c:f>Grafiikka_Grafik!$B$152:$C$152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6-40C8-B5FF-EC495B28D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089200"/>
        <c:axId val="679031800"/>
      </c:barChart>
      <c:catAx>
        <c:axId val="67908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9031800"/>
        <c:crosses val="autoZero"/>
        <c:auto val="1"/>
        <c:lblAlgn val="ctr"/>
        <c:lblOffset val="100"/>
        <c:noMultiLvlLbl val="0"/>
      </c:catAx>
      <c:valAx>
        <c:axId val="679031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90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Grafiikka_Grafik!$E$150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Grafiikka_Grafik!$B$150:$C$150</c:f>
            </c:multiLvlStrRef>
          </c:cat>
          <c:val>
            <c:numRef>
              <c:f>Grafiikka_Grafik!$B$151:$C$151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B-4941-A4C3-DD33BA577780}"/>
            </c:ext>
          </c:extLst>
        </c:ser>
        <c:ser>
          <c:idx val="1"/>
          <c:order val="1"/>
          <c:tx>
            <c:strRef>
              <c:f>Grafiikka_Grafik!$A$152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Grafiikka_Grafik!$B$150:$C$150</c:f>
            </c:multiLvlStrRef>
          </c:cat>
          <c:val>
            <c:numRef>
              <c:f>Grafiikka_Grafik!$B$152:$C$152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B-4941-A4C3-DD33BA577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089200"/>
        <c:axId val="679031800"/>
      </c:barChart>
      <c:catAx>
        <c:axId val="679089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9031800"/>
        <c:crosses val="autoZero"/>
        <c:auto val="1"/>
        <c:lblAlgn val="ctr"/>
        <c:lblOffset val="100"/>
        <c:noMultiLvlLbl val="0"/>
      </c:catAx>
      <c:valAx>
        <c:axId val="679031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9089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Grafiikka_Grafik!$E$171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Grafiikka_Grafik!$B$172:$C$172</c:f>
            </c:multiLvlStrRef>
          </c:cat>
          <c:val>
            <c:numRef>
              <c:f>Grafiikka_Grafik!$B$173:$C$173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F-4A07-B280-82449F4E1547}"/>
            </c:ext>
          </c:extLst>
        </c:ser>
        <c:ser>
          <c:idx val="1"/>
          <c:order val="1"/>
          <c:tx>
            <c:strRef>
              <c:f>Grafiikka_Grafik!$A$174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Grafiikka_Grafik!$B$172:$C$172</c:f>
            </c:multiLvlStrRef>
          </c:cat>
          <c:val>
            <c:numRef>
              <c:f>Grafiikka_Grafik!$B$174:$C$174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F-4A07-B280-82449F4E1547}"/>
            </c:ext>
          </c:extLst>
        </c:ser>
        <c:ser>
          <c:idx val="2"/>
          <c:order val="2"/>
          <c:tx>
            <c:strRef>
              <c:f>Grafiikka_Grafik!$A$175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Grafiikka_Grafik!$B$172:$C$172</c:f>
            </c:multiLvlStrRef>
          </c:cat>
          <c:val>
            <c:numRef>
              <c:f>Grafiikka_Grafik!$B$175:$C$175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F-4A07-B280-82449F4E1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97056"/>
        <c:axId val="696497384"/>
      </c:barChart>
      <c:catAx>
        <c:axId val="6964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6497384"/>
        <c:crosses val="autoZero"/>
        <c:auto val="1"/>
        <c:lblAlgn val="ctr"/>
        <c:lblOffset val="100"/>
        <c:noMultiLvlLbl val="0"/>
      </c:catAx>
      <c:valAx>
        <c:axId val="696497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649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Grafiikka_Grafik!$B$27:$C$27</c:f>
            </c:strRef>
          </c:cat>
          <c:val>
            <c:numRef>
              <c:f>Grafiikka_Grafik!$B$28:$C$28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D-492C-B4E5-D750A59FE9C4}"/>
            </c:ext>
          </c:extLst>
        </c:ser>
        <c:ser>
          <c:idx val="1"/>
          <c:order val="1"/>
          <c:tx>
            <c:strRef>
              <c:f>Grafiikka_Grafik!$A$29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Grafiikka_Grafik!$B$27:$C$27</c:f>
            </c:strRef>
          </c:cat>
          <c:val>
            <c:numRef>
              <c:f>Grafiikka_Grafik!$B$29:$C$29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D-492C-B4E5-D750A59FE9C4}"/>
            </c:ext>
          </c:extLst>
        </c:ser>
        <c:ser>
          <c:idx val="2"/>
          <c:order val="2"/>
          <c:tx>
            <c:strRef>
              <c:f>Grafiikka_Grafik!$A$30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Grafiikka_Grafik!$B$27:$C$27</c:f>
            </c:strRef>
          </c:cat>
          <c:val>
            <c:numRef>
              <c:f>Grafiikka_Grafik!$B$30:$C$30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D-492C-B4E5-D750A59FE9C4}"/>
            </c:ext>
          </c:extLst>
        </c:ser>
        <c:ser>
          <c:idx val="3"/>
          <c:order val="3"/>
          <c:tx>
            <c:strRef>
              <c:f>Grafiikka_Grafik!$A$31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Grafiikka_Grafik!$B$27:$C$27</c:f>
            </c:strRef>
          </c:cat>
          <c:val>
            <c:numRef>
              <c:f>Grafiikka_Grafik!$B$31:$C$31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D-492C-B4E5-D750A59F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86008"/>
        <c:axId val="568886664"/>
      </c:barChart>
      <c:catAx>
        <c:axId val="5688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664"/>
        <c:crosses val="autoZero"/>
        <c:auto val="1"/>
        <c:lblAlgn val="ctr"/>
        <c:lblOffset val="100"/>
        <c:noMultiLvlLbl val="0"/>
      </c:catAx>
      <c:valAx>
        <c:axId val="56888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Grafiikka_Grafik!$E$171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Grafiikka_Grafik!$A$173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Grafiikka_Grafik!$B$172:$C$172</c:f>
            </c:multiLvlStrRef>
          </c:cat>
          <c:val>
            <c:numRef>
              <c:f>Grafiikka_Grafik!$B$173:$C$173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6-4BD9-AD56-05EFE60648DF}"/>
            </c:ext>
          </c:extLst>
        </c:ser>
        <c:ser>
          <c:idx val="1"/>
          <c:order val="1"/>
          <c:tx>
            <c:strRef>
              <c:f>Grafiikka_Grafik!$A$174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Grafiikka_Grafik!$B$172:$C$172</c:f>
            </c:multiLvlStrRef>
          </c:cat>
          <c:val>
            <c:numRef>
              <c:f>Grafiikka_Grafik!$B$174:$C$174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6-4BD9-AD56-05EFE60648DF}"/>
            </c:ext>
          </c:extLst>
        </c:ser>
        <c:ser>
          <c:idx val="2"/>
          <c:order val="2"/>
          <c:tx>
            <c:strRef>
              <c:f>Grafiikka_Grafik!$A$175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Grafiikka_Grafik!$B$172:$C$172</c:f>
            </c:multiLvlStrRef>
          </c:cat>
          <c:val>
            <c:numRef>
              <c:f>Grafiikka_Grafik!$B$175:$C$175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6-4BD9-AD56-05EFE606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97056"/>
        <c:axId val="696497384"/>
      </c:barChart>
      <c:catAx>
        <c:axId val="696497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6497384"/>
        <c:crosses val="autoZero"/>
        <c:auto val="1"/>
        <c:lblAlgn val="ctr"/>
        <c:lblOffset val="100"/>
        <c:noMultiLvlLbl val="0"/>
      </c:catAx>
      <c:valAx>
        <c:axId val="696497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6497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Grafiikka_Grafik!$A$354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Grafiikka_Grafik!$B$354:$C$354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F-4187-9E79-2CAD1974B6CF}"/>
            </c:ext>
          </c:extLst>
        </c:ser>
        <c:ser>
          <c:idx val="1"/>
          <c:order val="1"/>
          <c:tx>
            <c:strRef>
              <c:f>Grafiikka_Grafik!$A$355</c:f>
              <c:strCache>
                <c:ptCount val="1"/>
                <c:pt idx="0">
                  <c:v>Finna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Grafiikka_Grafik!$B$355:$C$355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F-4187-9E79-2CAD1974B6CF}"/>
            </c:ext>
          </c:extLst>
        </c:ser>
        <c:ser>
          <c:idx val="2"/>
          <c:order val="2"/>
          <c:tx>
            <c:strRef>
              <c:f>Grafiikka_Grafik!$A$356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Grafiikka_Grafik!$B$356:$C$356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F-4187-9E79-2CAD1974B6CF}"/>
            </c:ext>
          </c:extLst>
        </c:ser>
        <c:ser>
          <c:idx val="3"/>
          <c:order val="3"/>
          <c:tx>
            <c:strRef>
              <c:f>Grafiikka_Grafik!$A$357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Grafiikka_Grafik!$B$357:$C$357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F-4187-9E79-2CAD1974B6CF}"/>
            </c:ext>
          </c:extLst>
        </c:ser>
        <c:ser>
          <c:idx val="4"/>
          <c:order val="4"/>
          <c:tx>
            <c:strRef>
              <c:f>Grafiikka_Grafik!$A$358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Grafiikka_Grafik!$B$358:$C$358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F-4187-9E79-2CAD1974B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5"/>
          <c:order val="5"/>
          <c:tx>
            <c:strRef>
              <c:f>Grafiikka_Grafik!$A$359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Grafiikka_Grafik!$B$353:$C$353</c:f>
            </c:multiLvlStrRef>
          </c:cat>
          <c:val>
            <c:numRef>
              <c:f>Grafiikka_Grafik!$B$359:$C$359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F-4187-9E79-2CAD1974B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59600"/>
        <c:axId val="605260584"/>
      </c:lineChart>
      <c:catAx>
        <c:axId val="617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3.0555555555555555E-2"/>
              <c:y val="0.14023148148148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605260584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99860017497813"/>
              <c:y val="0.1674999999999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5259600"/>
        <c:crosses val="max"/>
        <c:crossBetween val="between"/>
      </c:valAx>
      <c:catAx>
        <c:axId val="60525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26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Grafiikka_Grafik!$D$354</c:f>
              <c:strCache>
                <c:ptCount val="1"/>
                <c:pt idx="0">
                  <c:v>Finna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Grafiikka_Grafik!$E$354:$F$354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5-4854-9E19-54922896ADF3}"/>
            </c:ext>
          </c:extLst>
        </c:ser>
        <c:ser>
          <c:idx val="1"/>
          <c:order val="1"/>
          <c:tx>
            <c:strRef>
              <c:f>Grafiikka_Grafik!$D$355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Grafiikka_Grafik!$E$355:$F$355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5-4854-9E19-54922896ADF3}"/>
            </c:ext>
          </c:extLst>
        </c:ser>
        <c:ser>
          <c:idx val="2"/>
          <c:order val="2"/>
          <c:tx>
            <c:strRef>
              <c:f>Grafiikka_Grafik!$D$356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Grafiikka_Grafik!$E$356:$F$356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5-4854-9E19-54922896ADF3}"/>
            </c:ext>
          </c:extLst>
        </c:ser>
        <c:ser>
          <c:idx val="3"/>
          <c:order val="3"/>
          <c:tx>
            <c:strRef>
              <c:f>Grafiikka_Grafik!$D$357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Grafiikka_Grafik!$E$357:$F$357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55-4854-9E19-54922896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4"/>
          <c:order val="4"/>
          <c:tx>
            <c:strRef>
              <c:f>Grafiikka_Grafik!$D$358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Grafiikka_Grafik!$E$353:$F$353</c:f>
            </c:multiLvlStrRef>
          </c:cat>
          <c:val>
            <c:numRef>
              <c:f>Grafiikka_Grafik!$E$358:$F$358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5-4854-9E19-54922896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228304"/>
        <c:axId val="736229616"/>
      </c:lineChart>
      <c:catAx>
        <c:axId val="617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3.3333333333333333E-2"/>
              <c:y val="0.14023148148148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736229616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720822397200353"/>
              <c:y val="0.16287037037037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6228304"/>
        <c:crosses val="max"/>
        <c:crossBetween val="between"/>
      </c:valAx>
      <c:catAx>
        <c:axId val="73622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22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Grafiikka_Grafik!$G$354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Grafiikka_Grafik!$H$354:$I$354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4-4C92-8A16-244024A59816}"/>
            </c:ext>
          </c:extLst>
        </c:ser>
        <c:ser>
          <c:idx val="1"/>
          <c:order val="1"/>
          <c:tx>
            <c:strRef>
              <c:f>Grafiikka_Grafik!$G$355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Grafiikka_Grafik!$H$355:$I$355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4-4C92-8A16-244024A59816}"/>
            </c:ext>
          </c:extLst>
        </c:ser>
        <c:ser>
          <c:idx val="2"/>
          <c:order val="2"/>
          <c:tx>
            <c:strRef>
              <c:f>Grafiikka_Grafik!$G$356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Grafiikka_Grafik!$H$356:$I$356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4-4C92-8A16-244024A59816}"/>
            </c:ext>
          </c:extLst>
        </c:ser>
        <c:ser>
          <c:idx val="3"/>
          <c:order val="3"/>
          <c:tx>
            <c:strRef>
              <c:f>Grafiikka_Grafik!$G$357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Grafiikka_Grafik!$H$357:$I$357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4-4C92-8A16-244024A59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4"/>
          <c:order val="4"/>
          <c:tx>
            <c:strRef>
              <c:f>Grafiikka_Grafik!$G$358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Grafiikka_Grafik!$H$353:$I$353</c:f>
            </c:multiLvlStrRef>
          </c:cat>
          <c:val>
            <c:numRef>
              <c:f>Grafiikka_Grafik!$H$358:$I$358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64-4C92-8A16-244024A59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228304"/>
        <c:axId val="736229616"/>
      </c:lineChart>
      <c:catAx>
        <c:axId val="617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3.0555555555555555E-2"/>
              <c:y val="0.14023148148148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736229616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720822397200353"/>
              <c:y val="0.1536111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6228304"/>
        <c:crosses val="max"/>
        <c:crossBetween val="between"/>
      </c:valAx>
      <c:catAx>
        <c:axId val="73622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22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Grafiikka_Grafik!$J$354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Grafiikka_Grafik!$K$353:$L$353</c:f>
            </c:multiLvlStrRef>
          </c:cat>
          <c:val>
            <c:numRef>
              <c:f>Grafiikka_Grafik!$K$354:$L$354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E-4B42-9E08-FD21C645896D}"/>
            </c:ext>
          </c:extLst>
        </c:ser>
        <c:ser>
          <c:idx val="1"/>
          <c:order val="1"/>
          <c:tx>
            <c:strRef>
              <c:f>Grafiikka_Grafik!$J$355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Grafiikka_Grafik!$K$353:$L$353</c:f>
            </c:multiLvlStrRef>
          </c:cat>
          <c:val>
            <c:numRef>
              <c:f>Grafiikka_Grafik!$K$355:$L$355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E-4B42-9E08-FD21C645896D}"/>
            </c:ext>
          </c:extLst>
        </c:ser>
        <c:ser>
          <c:idx val="2"/>
          <c:order val="2"/>
          <c:tx>
            <c:strRef>
              <c:f>Grafiikka_Grafik!$J$356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Grafiikka_Grafik!$K$353:$L$353</c:f>
            </c:multiLvlStrRef>
          </c:cat>
          <c:val>
            <c:numRef>
              <c:f>Grafiikka_Grafik!$K$356:$L$356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E-4B42-9E08-FD21C645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3"/>
          <c:order val="3"/>
          <c:tx>
            <c:strRef>
              <c:f>Grafiikka_Grafik!$J$357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Grafiikka_Grafik!$K$353:$L$353</c:f>
            </c:multiLvlStrRef>
          </c:cat>
          <c:val>
            <c:numRef>
              <c:f>Grafiikka_Grafik!$K$357:$L$357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E-4B42-9E08-FD21C645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624872"/>
        <c:axId val="605618312"/>
      </c:lineChart>
      <c:catAx>
        <c:axId val="617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3.0555555555555555E-2"/>
              <c:y val="0.200416666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605618312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99860017497813"/>
              <c:y val="0.1674999999999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5624872"/>
        <c:crosses val="max"/>
        <c:crossBetween val="between"/>
      </c:valAx>
      <c:catAx>
        <c:axId val="60562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618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Grafiikka_Grafik!$A$417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Grafiikka_Grafik!$B$417:$C$417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7-404C-9B1D-F1BAD85DD356}"/>
            </c:ext>
          </c:extLst>
        </c:ser>
        <c:ser>
          <c:idx val="1"/>
          <c:order val="1"/>
          <c:tx>
            <c:strRef>
              <c:f>Grafiikka_Grafik!$A$418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Grafiikka_Grafik!$B$418:$C$418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7-404C-9B1D-F1BAD85DD356}"/>
            </c:ext>
          </c:extLst>
        </c:ser>
        <c:ser>
          <c:idx val="2"/>
          <c:order val="2"/>
          <c:tx>
            <c:strRef>
              <c:f>Grafiikka_Grafik!$A$419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Grafiikka_Grafik!$B$419:$C$419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7-404C-9B1D-F1BAD85DD356}"/>
            </c:ext>
          </c:extLst>
        </c:ser>
        <c:ser>
          <c:idx val="3"/>
          <c:order val="3"/>
          <c:tx>
            <c:strRef>
              <c:f>Grafiikka_Grafik!$A$420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Grafiikka_Grafik!$B$420:$C$420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7-404C-9B1D-F1BAD85DD356}"/>
            </c:ext>
          </c:extLst>
        </c:ser>
        <c:ser>
          <c:idx val="4"/>
          <c:order val="4"/>
          <c:tx>
            <c:strRef>
              <c:f>Grafiikka_Grafik!$A$421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Grafiikka_Grafik!$B$421:$C$421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C7-404C-9B1D-F1BAD85DD356}"/>
            </c:ext>
          </c:extLst>
        </c:ser>
        <c:ser>
          <c:idx val="5"/>
          <c:order val="5"/>
          <c:tx>
            <c:strRef>
              <c:f>Grafiikka_Grafik!$A$422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Grafiikka_Grafik!$B$422:$C$422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C7-404C-9B1D-F1BAD85DD356}"/>
            </c:ext>
          </c:extLst>
        </c:ser>
        <c:ser>
          <c:idx val="6"/>
          <c:order val="6"/>
          <c:tx>
            <c:strRef>
              <c:f>Grafiikka_Grafik!$A$423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Grafiikka_Grafik!$B$423:$C$423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C7-404C-9B1D-F1BAD85D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Grafiikka_Grafik!$D$417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Grafiikka_Grafik!$E$417:$F$417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F9B-93FB-C889633BB3EE}"/>
            </c:ext>
          </c:extLst>
        </c:ser>
        <c:ser>
          <c:idx val="1"/>
          <c:order val="1"/>
          <c:tx>
            <c:strRef>
              <c:f>Grafiikka_Grafik!$D$418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Grafiikka_Grafik!$E$418:$F$418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F-4F9B-93FB-C889633BB3EE}"/>
            </c:ext>
          </c:extLst>
        </c:ser>
        <c:ser>
          <c:idx val="2"/>
          <c:order val="2"/>
          <c:tx>
            <c:strRef>
              <c:f>Grafiikka_Grafik!$D$419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Grafiikka_Grafik!$E$419:$F$419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F-4F9B-93FB-C889633BB3EE}"/>
            </c:ext>
          </c:extLst>
        </c:ser>
        <c:ser>
          <c:idx val="3"/>
          <c:order val="3"/>
          <c:tx>
            <c:strRef>
              <c:f>Grafiikka_Grafik!$D$420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Grafiikka_Grafik!$E$420:$F$420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F-4F9B-93FB-C889633BB3EE}"/>
            </c:ext>
          </c:extLst>
        </c:ser>
        <c:ser>
          <c:idx val="4"/>
          <c:order val="4"/>
          <c:tx>
            <c:strRef>
              <c:f>Grafiikka_Grafik!$D$421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Grafiikka_Grafik!$E$421:$F$421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F-4F9B-93FB-C889633BB3EE}"/>
            </c:ext>
          </c:extLst>
        </c:ser>
        <c:ser>
          <c:idx val="5"/>
          <c:order val="5"/>
          <c:tx>
            <c:strRef>
              <c:f>Grafiikka_Grafik!$D$422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Grafiikka_Grafik!$E$422:$F$422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DF-4F9B-93FB-C889633B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Grafiikka_Grafik!$G$417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Grafiikka_Grafik!$H$417:$I$417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A-4D5C-86E5-C7EA8A2A8E4A}"/>
            </c:ext>
          </c:extLst>
        </c:ser>
        <c:ser>
          <c:idx val="1"/>
          <c:order val="1"/>
          <c:tx>
            <c:strRef>
              <c:f>Grafiikka_Grafik!$G$418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Grafiikka_Grafik!$H$418:$I$418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A-4D5C-86E5-C7EA8A2A8E4A}"/>
            </c:ext>
          </c:extLst>
        </c:ser>
        <c:ser>
          <c:idx val="2"/>
          <c:order val="2"/>
          <c:tx>
            <c:strRef>
              <c:f>Grafiikka_Grafik!$G$419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Grafiikka_Grafik!$H$419:$I$419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A-4D5C-86E5-C7EA8A2A8E4A}"/>
            </c:ext>
          </c:extLst>
        </c:ser>
        <c:ser>
          <c:idx val="3"/>
          <c:order val="3"/>
          <c:tx>
            <c:strRef>
              <c:f>Grafiikka_Grafik!$G$420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Grafiikka_Grafik!$H$420:$I$420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A-4D5C-86E5-C7EA8A2A8E4A}"/>
            </c:ext>
          </c:extLst>
        </c:ser>
        <c:ser>
          <c:idx val="4"/>
          <c:order val="4"/>
          <c:tx>
            <c:strRef>
              <c:f>Grafiikka_Grafik!$G$421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Grafiikka_Grafik!$H$421:$I$421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A-4D5C-86E5-C7EA8A2A8E4A}"/>
            </c:ext>
          </c:extLst>
        </c:ser>
        <c:ser>
          <c:idx val="5"/>
          <c:order val="5"/>
          <c:tx>
            <c:strRef>
              <c:f>Grafiikka_Grafik!$G$422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Grafiikka_Grafik!$H$422:$I$422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8A-4D5C-86E5-C7EA8A2A8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Grafiikka_Grafik!$J$417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Grafiikka_Grafik!$K$417:$L$417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7-4A11-BBFE-73BE1CCD9E52}"/>
            </c:ext>
          </c:extLst>
        </c:ser>
        <c:ser>
          <c:idx val="1"/>
          <c:order val="1"/>
          <c:tx>
            <c:strRef>
              <c:f>Grafiikka_Grafik!$J$418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Grafiikka_Grafik!$K$418:$L$418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7-4A11-BBFE-73BE1CCD9E52}"/>
            </c:ext>
          </c:extLst>
        </c:ser>
        <c:ser>
          <c:idx val="2"/>
          <c:order val="2"/>
          <c:tx>
            <c:strRef>
              <c:f>Grafiikka_Grafik!$J$419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Grafiikka_Grafik!$K$419:$L$419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7-4A11-BBFE-73BE1CCD9E52}"/>
            </c:ext>
          </c:extLst>
        </c:ser>
        <c:ser>
          <c:idx val="3"/>
          <c:order val="3"/>
          <c:tx>
            <c:strRef>
              <c:f>Grafiikka_Grafik!$J$420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Grafiikka_Grafik!$K$420:$L$420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7-4A11-BBFE-73BE1CCD9E52}"/>
            </c:ext>
          </c:extLst>
        </c:ser>
        <c:ser>
          <c:idx val="4"/>
          <c:order val="4"/>
          <c:tx>
            <c:strRef>
              <c:f>Grafiikka_Grafik!$J$421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Grafiikka_Grafik!$K$421:$L$421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67-4A11-BBFE-73BE1CCD9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Grafiikka_Grafik!$M$417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Grafiikka_Grafik!$N$416:$O$416</c:f>
            </c:multiLvlStrRef>
          </c:cat>
          <c:val>
            <c:numRef>
              <c:f>Grafiikka_Grafik!$N$417:$O$417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A-46EE-8497-046A6311E77A}"/>
            </c:ext>
          </c:extLst>
        </c:ser>
        <c:ser>
          <c:idx val="1"/>
          <c:order val="1"/>
          <c:tx>
            <c:strRef>
              <c:f>Grafiikka_Grafik!$M$418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Grafiikka_Grafik!$N$416:$O$416</c:f>
            </c:multiLvlStrRef>
          </c:cat>
          <c:val>
            <c:numRef>
              <c:f>Grafiikka_Grafik!$N$418:$O$418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A-46EE-8497-046A6311E77A}"/>
            </c:ext>
          </c:extLst>
        </c:ser>
        <c:ser>
          <c:idx val="2"/>
          <c:order val="2"/>
          <c:tx>
            <c:strRef>
              <c:f>Grafiikka_Grafik!$M$419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Grafiikka_Grafik!$N$416:$O$416</c:f>
            </c:multiLvlStrRef>
          </c:cat>
          <c:val>
            <c:numRef>
              <c:f>Grafiikka_Grafik!$N$419:$O$419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9A-46EE-8497-046A6311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Grafiikka_Grafik!$B$27:$C$27</c:f>
            </c:strRef>
          </c:cat>
          <c:val>
            <c:numRef>
              <c:f>Grafiikka_Grafik!$B$28:$C$28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7-4024-9B23-25A311173EC9}"/>
            </c:ext>
          </c:extLst>
        </c:ser>
        <c:ser>
          <c:idx val="1"/>
          <c:order val="1"/>
          <c:tx>
            <c:strRef>
              <c:f>Grafiikka_Grafik!$A$29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Grafiikka_Grafik!$B$27:$C$27</c:f>
            </c:strRef>
          </c:cat>
          <c:val>
            <c:numRef>
              <c:f>Grafiikka_Grafik!$B$29:$C$29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7-4024-9B23-25A311173EC9}"/>
            </c:ext>
          </c:extLst>
        </c:ser>
        <c:ser>
          <c:idx val="2"/>
          <c:order val="2"/>
          <c:tx>
            <c:strRef>
              <c:f>Grafiikka_Grafik!$A$30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Grafiikka_Grafik!$B$27:$C$27</c:f>
            </c:strRef>
          </c:cat>
          <c:val>
            <c:numRef>
              <c:f>Grafiikka_Grafik!$B$30:$C$30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7-4024-9B23-25A311173EC9}"/>
            </c:ext>
          </c:extLst>
        </c:ser>
        <c:ser>
          <c:idx val="3"/>
          <c:order val="3"/>
          <c:tx>
            <c:strRef>
              <c:f>Grafiikka_Grafik!$A$31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Grafiikka_Grafik!$B$27:$C$27</c:f>
            </c:strRef>
          </c:cat>
          <c:val>
            <c:numRef>
              <c:f>Grafiikka_Grafik!$B$31:$C$31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27-4024-9B23-25A31117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886008"/>
        <c:axId val="568886664"/>
      </c:barChart>
      <c:catAx>
        <c:axId val="5688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664"/>
        <c:crosses val="autoZero"/>
        <c:auto val="1"/>
        <c:lblAlgn val="ctr"/>
        <c:lblOffset val="100"/>
        <c:noMultiLvlLbl val="0"/>
      </c:catAx>
      <c:valAx>
        <c:axId val="56888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Grafiikka_Grafik!$G$417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Grafiikka_Grafik!$H$417:$I$417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5-4925-8148-C30E18246810}"/>
            </c:ext>
          </c:extLst>
        </c:ser>
        <c:ser>
          <c:idx val="1"/>
          <c:order val="1"/>
          <c:tx>
            <c:strRef>
              <c:f>Grafiikka_Grafik!$G$418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Grafiikka_Grafik!$H$418:$I$418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5-4925-8148-C30E18246810}"/>
            </c:ext>
          </c:extLst>
        </c:ser>
        <c:ser>
          <c:idx val="2"/>
          <c:order val="2"/>
          <c:tx>
            <c:strRef>
              <c:f>Grafiikka_Grafik!$G$419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Grafiikka_Grafik!$H$419:$I$419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5-4925-8148-C30E18246810}"/>
            </c:ext>
          </c:extLst>
        </c:ser>
        <c:ser>
          <c:idx val="3"/>
          <c:order val="3"/>
          <c:tx>
            <c:strRef>
              <c:f>Grafiikka_Grafik!$G$420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Grafiikka_Grafik!$H$420:$I$420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5-4925-8148-C30E18246810}"/>
            </c:ext>
          </c:extLst>
        </c:ser>
        <c:ser>
          <c:idx val="4"/>
          <c:order val="4"/>
          <c:tx>
            <c:strRef>
              <c:f>Grafiikka_Grafik!$G$421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Grafiikka_Grafik!$H$421:$I$421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5-4925-8148-C30E18246810}"/>
            </c:ext>
          </c:extLst>
        </c:ser>
        <c:ser>
          <c:idx val="5"/>
          <c:order val="5"/>
          <c:tx>
            <c:strRef>
              <c:f>Grafiikka_Grafik!$G$422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Grafiikka_Grafik!$H$416:$I$416</c:f>
            </c:multiLvlStrRef>
          </c:cat>
          <c:val>
            <c:numRef>
              <c:f>Grafiikka_Grafik!$H$422:$I$422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5-4925-8148-C30E1824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Grafiikka_Grafik!$J$417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Grafiikka_Grafik!$K$417:$L$417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F95-9A1B-66EB3AC2D9CC}"/>
            </c:ext>
          </c:extLst>
        </c:ser>
        <c:ser>
          <c:idx val="1"/>
          <c:order val="1"/>
          <c:tx>
            <c:strRef>
              <c:f>Grafiikka_Grafik!$J$418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Grafiikka_Grafik!$K$418:$L$418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3-4F95-9A1B-66EB3AC2D9CC}"/>
            </c:ext>
          </c:extLst>
        </c:ser>
        <c:ser>
          <c:idx val="2"/>
          <c:order val="2"/>
          <c:tx>
            <c:strRef>
              <c:f>Grafiikka_Grafik!$J$419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Grafiikka_Grafik!$K$419:$L$419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3-4F95-9A1B-66EB3AC2D9CC}"/>
            </c:ext>
          </c:extLst>
        </c:ser>
        <c:ser>
          <c:idx val="3"/>
          <c:order val="3"/>
          <c:tx>
            <c:strRef>
              <c:f>Grafiikka_Grafik!$J$420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Grafiikka_Grafik!$K$420:$L$420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3-4F95-9A1B-66EB3AC2D9CC}"/>
            </c:ext>
          </c:extLst>
        </c:ser>
        <c:ser>
          <c:idx val="4"/>
          <c:order val="4"/>
          <c:tx>
            <c:strRef>
              <c:f>Grafiikka_Grafik!$J$421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Grafiikka_Grafik!$K$416:$L$416</c:f>
            </c:multiLvlStrRef>
          </c:cat>
          <c:val>
            <c:numRef>
              <c:f>Grafiikka_Grafik!$K$421:$L$421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3-4F95-9A1B-66EB3AC2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Grafiikka_Grafik!$D$417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Grafiikka_Grafik!$E$417:$F$417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2-4875-AAC1-8504ED0C491C}"/>
            </c:ext>
          </c:extLst>
        </c:ser>
        <c:ser>
          <c:idx val="1"/>
          <c:order val="1"/>
          <c:tx>
            <c:strRef>
              <c:f>Grafiikka_Grafik!$D$418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Grafiikka_Grafik!$E$418:$F$418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2-4875-AAC1-8504ED0C491C}"/>
            </c:ext>
          </c:extLst>
        </c:ser>
        <c:ser>
          <c:idx val="2"/>
          <c:order val="2"/>
          <c:tx>
            <c:strRef>
              <c:f>Grafiikka_Grafik!$D$419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Grafiikka_Grafik!$E$419:$F$419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2-4875-AAC1-8504ED0C491C}"/>
            </c:ext>
          </c:extLst>
        </c:ser>
        <c:ser>
          <c:idx val="3"/>
          <c:order val="3"/>
          <c:tx>
            <c:strRef>
              <c:f>Grafiikka_Grafik!$D$420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Grafiikka_Grafik!$E$420:$F$420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2-4875-AAC1-8504ED0C491C}"/>
            </c:ext>
          </c:extLst>
        </c:ser>
        <c:ser>
          <c:idx val="4"/>
          <c:order val="4"/>
          <c:tx>
            <c:strRef>
              <c:f>Grafiikka_Grafik!$D$421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Grafiikka_Grafik!$E$421:$F$421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2-4875-AAC1-8504ED0C491C}"/>
            </c:ext>
          </c:extLst>
        </c:ser>
        <c:ser>
          <c:idx val="5"/>
          <c:order val="5"/>
          <c:tx>
            <c:strRef>
              <c:f>Grafiikka_Grafik!$D$422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Grafiikka_Grafik!$E$416:$F$416</c:f>
            </c:multiLvlStrRef>
          </c:cat>
          <c:val>
            <c:numRef>
              <c:f>Grafiikka_Grafik!$E$422:$F$422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B2-4875-AAC1-8504ED0C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Grafiikka_Grafik!$A$417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Grafiikka_Grafik!$B$417:$C$417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7-4BC5-A9C4-0446A943B585}"/>
            </c:ext>
          </c:extLst>
        </c:ser>
        <c:ser>
          <c:idx val="1"/>
          <c:order val="1"/>
          <c:tx>
            <c:strRef>
              <c:f>Grafiikka_Grafik!$A$418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Grafiikka_Grafik!$B$418:$C$418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7-4BC5-A9C4-0446A943B585}"/>
            </c:ext>
          </c:extLst>
        </c:ser>
        <c:ser>
          <c:idx val="2"/>
          <c:order val="2"/>
          <c:tx>
            <c:strRef>
              <c:f>Grafiikka_Grafik!$A$419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Grafiikka_Grafik!$B$419:$C$419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7-4BC5-A9C4-0446A943B585}"/>
            </c:ext>
          </c:extLst>
        </c:ser>
        <c:ser>
          <c:idx val="3"/>
          <c:order val="3"/>
          <c:tx>
            <c:strRef>
              <c:f>Grafiikka_Grafik!$A$420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Grafiikka_Grafik!$B$420:$C$420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7-4BC5-A9C4-0446A943B585}"/>
            </c:ext>
          </c:extLst>
        </c:ser>
        <c:ser>
          <c:idx val="4"/>
          <c:order val="4"/>
          <c:tx>
            <c:strRef>
              <c:f>Grafiikka_Grafik!$A$421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Grafiikka_Grafik!$B$421:$C$421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7-4BC5-A9C4-0446A943B585}"/>
            </c:ext>
          </c:extLst>
        </c:ser>
        <c:ser>
          <c:idx val="5"/>
          <c:order val="5"/>
          <c:tx>
            <c:strRef>
              <c:f>Grafiikka_Grafik!$A$422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Grafiikka_Grafik!$B$422:$C$422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7-4BC5-A9C4-0446A943B585}"/>
            </c:ext>
          </c:extLst>
        </c:ser>
        <c:ser>
          <c:idx val="6"/>
          <c:order val="6"/>
          <c:tx>
            <c:strRef>
              <c:f>Grafiikka_Grafik!$A$423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Grafiikka_Grafik!$B$416:$C$416</c:f>
            </c:multiLvlStrRef>
          </c:cat>
          <c:val>
            <c:numRef>
              <c:f>Grafiikka_Grafik!$B$423:$C$423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F7-4BC5-A9C4-0446A943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Grafiikka_Grafik!$B$424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Grafiikka_Grafik!$M$417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Grafiikka_Grafik!$N$416:$O$416</c:f>
            </c:multiLvlStrRef>
          </c:cat>
          <c:val>
            <c:numRef>
              <c:f>Grafiikka_Grafik!$N$417:$O$417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4-47EC-A7E6-ABBC22058789}"/>
            </c:ext>
          </c:extLst>
        </c:ser>
        <c:ser>
          <c:idx val="1"/>
          <c:order val="1"/>
          <c:tx>
            <c:strRef>
              <c:f>Grafiikka_Grafik!$M$418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Grafiikka_Grafik!$N$416:$O$416</c:f>
            </c:multiLvlStrRef>
          </c:cat>
          <c:val>
            <c:numRef>
              <c:f>Grafiikka_Grafik!$N$418:$O$418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4-47EC-A7E6-ABBC22058789}"/>
            </c:ext>
          </c:extLst>
        </c:ser>
        <c:ser>
          <c:idx val="2"/>
          <c:order val="2"/>
          <c:tx>
            <c:strRef>
              <c:f>Grafiikka_Grafik!$M$419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Grafiikka_Grafik!$N$416:$O$416</c:f>
            </c:multiLvlStrRef>
          </c:cat>
          <c:val>
            <c:numRef>
              <c:f>Grafiikka_Grafik!$N$419:$O$419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4-47EC-A7E6-ABBC2205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815088"/>
        <c:axId val="742822632"/>
      </c:barChart>
      <c:catAx>
        <c:axId val="7428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22632"/>
        <c:crosses val="autoZero"/>
        <c:auto val="1"/>
        <c:lblAlgn val="ctr"/>
        <c:lblOffset val="100"/>
        <c:noMultiLvlLbl val="0"/>
      </c:catAx>
      <c:valAx>
        <c:axId val="742822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281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Grafiikka_Grafik!$D$471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Grafiikka_Grafik!$A$472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Grafiikka_Grafik!$B$472:$C$472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F-4EDF-BA78-74C31DB0E97D}"/>
            </c:ext>
          </c:extLst>
        </c:ser>
        <c:ser>
          <c:idx val="1"/>
          <c:order val="1"/>
          <c:tx>
            <c:strRef>
              <c:f>Grafiikka_Grafik!$A$473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Grafiikka_Grafik!$B$473:$C$473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F-4EDF-BA78-74C31DB0E97D}"/>
            </c:ext>
          </c:extLst>
        </c:ser>
        <c:ser>
          <c:idx val="2"/>
          <c:order val="2"/>
          <c:tx>
            <c:strRef>
              <c:f>Grafiikka_Grafik!$A$474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Grafiikka_Grafik!$B$474:$C$474</c:f>
              <c:numCache>
                <c:formatCode>#\ 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F-4EDF-BA78-74C31DB0E97D}"/>
            </c:ext>
          </c:extLst>
        </c:ser>
        <c:ser>
          <c:idx val="3"/>
          <c:order val="3"/>
          <c:tx>
            <c:strRef>
              <c:f>Grafiikka_Grafik!$A$475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Grafiikka_Grafik!$B$475:$C$475</c:f>
              <c:numCache>
                <c:formatCode>#\ 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3F-4EDF-BA78-74C31DB0E97D}"/>
            </c:ext>
          </c:extLst>
        </c:ser>
        <c:ser>
          <c:idx val="4"/>
          <c:order val="4"/>
          <c:tx>
            <c:strRef>
              <c:f>Grafiikka_Grafik!$A$476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Grafiikka_Grafik!$B$476:$C$476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F-4EDF-BA78-74C31DB0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23624"/>
        <c:axId val="616224280"/>
      </c:barChart>
      <c:catAx>
        <c:axId val="616223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6224280"/>
        <c:crosses val="autoZero"/>
        <c:auto val="1"/>
        <c:lblAlgn val="ctr"/>
        <c:lblOffset val="100"/>
        <c:noMultiLvlLbl val="0"/>
      </c:catAx>
      <c:valAx>
        <c:axId val="61622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6223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Grafiikka_Grafik!$A$354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Grafiikka_Grafik!$B$354:$C$354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4-4AFE-8306-7B3242B466A1}"/>
            </c:ext>
          </c:extLst>
        </c:ser>
        <c:ser>
          <c:idx val="1"/>
          <c:order val="1"/>
          <c:tx>
            <c:strRef>
              <c:f>Grafiikka_Grafik!$A$355</c:f>
              <c:strCache>
                <c:ptCount val="1"/>
                <c:pt idx="0">
                  <c:v>Finna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Grafiikka_Grafik!$B$355:$C$355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4-4AFE-8306-7B3242B466A1}"/>
            </c:ext>
          </c:extLst>
        </c:ser>
        <c:ser>
          <c:idx val="2"/>
          <c:order val="2"/>
          <c:tx>
            <c:strRef>
              <c:f>Grafiikka_Grafik!$A$356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Grafiikka_Grafik!$B$356:$C$356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4-4AFE-8306-7B3242B466A1}"/>
            </c:ext>
          </c:extLst>
        </c:ser>
        <c:ser>
          <c:idx val="3"/>
          <c:order val="3"/>
          <c:tx>
            <c:strRef>
              <c:f>Grafiikka_Grafik!$A$357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Grafiikka_Grafik!$B$357:$C$357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34-4AFE-8306-7B3242B466A1}"/>
            </c:ext>
          </c:extLst>
        </c:ser>
        <c:ser>
          <c:idx val="4"/>
          <c:order val="4"/>
          <c:tx>
            <c:strRef>
              <c:f>Grafiikka_Grafik!$A$358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Grafiikka_Grafik!$B$353:$C$353</c:f>
            </c:multiLvlStrRef>
          </c:cat>
          <c:val>
            <c:numRef>
              <c:f>Grafiikka_Grafik!$B$358:$C$358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34-4AFE-8306-7B3242B46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5"/>
          <c:order val="5"/>
          <c:tx>
            <c:strRef>
              <c:f>Grafiikka_Grafik!$A$359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Grafiikka_Grafik!$B$353:$C$353</c:f>
            </c:multiLvlStrRef>
          </c:cat>
          <c:val>
            <c:numRef>
              <c:f>Grafiikka_Grafik!$B$359:$C$359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34-4AFE-8306-7B3242B46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59600"/>
        <c:axId val="605260584"/>
      </c:lineChart>
      <c:catAx>
        <c:axId val="61707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605260584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720822397200353"/>
              <c:y val="0.28732158002238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5259600"/>
        <c:crosses val="max"/>
        <c:crossBetween val="between"/>
      </c:valAx>
      <c:catAx>
        <c:axId val="60525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260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Grafiikka_Grafik!$D$354</c:f>
              <c:strCache>
                <c:ptCount val="1"/>
                <c:pt idx="0">
                  <c:v>Finna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Grafiikka_Grafik!$E$354:$F$354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9-4BF1-ABF1-35E822EE611C}"/>
            </c:ext>
          </c:extLst>
        </c:ser>
        <c:ser>
          <c:idx val="1"/>
          <c:order val="1"/>
          <c:tx>
            <c:strRef>
              <c:f>Grafiikka_Grafik!$D$355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Grafiikka_Grafik!$E$355:$F$355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9-4BF1-ABF1-35E822EE611C}"/>
            </c:ext>
          </c:extLst>
        </c:ser>
        <c:ser>
          <c:idx val="2"/>
          <c:order val="2"/>
          <c:tx>
            <c:strRef>
              <c:f>Grafiikka_Grafik!$D$356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Grafiikka_Grafik!$E$356:$F$356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9-4BF1-ABF1-35E822EE611C}"/>
            </c:ext>
          </c:extLst>
        </c:ser>
        <c:ser>
          <c:idx val="3"/>
          <c:order val="3"/>
          <c:tx>
            <c:strRef>
              <c:f>Grafiikka_Grafik!$D$357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Grafiikka_Grafik!$E$353:$F$353</c:f>
            </c:multiLvlStrRef>
          </c:cat>
          <c:val>
            <c:numRef>
              <c:f>Grafiikka_Grafik!$E$357:$F$357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59-4BF1-ABF1-35E822EE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4"/>
          <c:order val="4"/>
          <c:tx>
            <c:strRef>
              <c:f>Grafiikka_Grafik!$D$358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Grafiikka_Grafik!$E$353:$F$353</c:f>
            </c:multiLvlStrRef>
          </c:cat>
          <c:val>
            <c:numRef>
              <c:f>Grafiikka_Grafik!$E$358:$F$358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59-4BF1-ABF1-35E822EE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228304"/>
        <c:axId val="736229616"/>
      </c:lineChart>
      <c:catAx>
        <c:axId val="61707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736229616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1652668416448"/>
              <c:y val="0.2803672529439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6228304"/>
        <c:crosses val="max"/>
        <c:crossBetween val="between"/>
      </c:valAx>
      <c:catAx>
        <c:axId val="73622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229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Grafiikka_Grafik!$G$354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Grafiikka_Grafik!$H$354:$I$354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3-4D7B-BBD5-028F2634355A}"/>
            </c:ext>
          </c:extLst>
        </c:ser>
        <c:ser>
          <c:idx val="1"/>
          <c:order val="1"/>
          <c:tx>
            <c:strRef>
              <c:f>Grafiikka_Grafik!$G$355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Grafiikka_Grafik!$H$355:$I$355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3-4D7B-BBD5-028F2634355A}"/>
            </c:ext>
          </c:extLst>
        </c:ser>
        <c:ser>
          <c:idx val="2"/>
          <c:order val="2"/>
          <c:tx>
            <c:strRef>
              <c:f>Grafiikka_Grafik!$G$356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Grafiikka_Grafik!$H$356:$I$356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3-4D7B-BBD5-028F2634355A}"/>
            </c:ext>
          </c:extLst>
        </c:ser>
        <c:ser>
          <c:idx val="3"/>
          <c:order val="3"/>
          <c:tx>
            <c:strRef>
              <c:f>Grafiikka_Grafik!$G$357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Grafiikka_Grafik!$H$353:$I$353</c:f>
            </c:multiLvlStrRef>
          </c:cat>
          <c:val>
            <c:numRef>
              <c:f>Grafiikka_Grafik!$H$357:$I$357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E3-4D7B-BBD5-028F2634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4"/>
          <c:order val="4"/>
          <c:tx>
            <c:strRef>
              <c:f>Grafiikka_Grafik!$G$358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Grafiikka_Grafik!$H$353:$I$353</c:f>
            </c:multiLvlStrRef>
          </c:cat>
          <c:val>
            <c:numRef>
              <c:f>Grafiikka_Grafik!$H$358:$I$358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E3-4D7B-BBD5-028F2634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228304"/>
        <c:axId val="736229616"/>
      </c:lineChart>
      <c:catAx>
        <c:axId val="61707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736229616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720822397200353"/>
              <c:y val="0.26899576014536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6228304"/>
        <c:crosses val="max"/>
        <c:crossBetween val="between"/>
      </c:valAx>
      <c:catAx>
        <c:axId val="73622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229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Grafiikka_Grafik!$B$360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Grafiikka_Grafik!$J$354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Grafiikka_Grafik!$K$353:$L$353</c:f>
            </c:multiLvlStrRef>
          </c:cat>
          <c:val>
            <c:numRef>
              <c:f>Grafiikka_Grafik!$K$354:$L$354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9CC-92FB-B559E6D4F2FD}"/>
            </c:ext>
          </c:extLst>
        </c:ser>
        <c:ser>
          <c:idx val="1"/>
          <c:order val="1"/>
          <c:tx>
            <c:strRef>
              <c:f>Grafiikka_Grafik!$J$355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Grafiikka_Grafik!$K$353:$L$353</c:f>
            </c:multiLvlStrRef>
          </c:cat>
          <c:val>
            <c:numRef>
              <c:f>Grafiikka_Grafik!$K$355:$L$355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2-49CC-92FB-B559E6D4F2FD}"/>
            </c:ext>
          </c:extLst>
        </c:ser>
        <c:ser>
          <c:idx val="2"/>
          <c:order val="2"/>
          <c:tx>
            <c:strRef>
              <c:f>Grafiikka_Grafik!$J$356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Grafiikka_Grafik!$K$353:$L$353</c:f>
            </c:multiLvlStrRef>
          </c:cat>
          <c:val>
            <c:numRef>
              <c:f>Grafiikka_Grafik!$K$356:$L$356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12-49CC-92FB-B559E6D4F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070608"/>
        <c:axId val="617067000"/>
      </c:barChart>
      <c:lineChart>
        <c:grouping val="standard"/>
        <c:varyColors val="0"/>
        <c:ser>
          <c:idx val="3"/>
          <c:order val="3"/>
          <c:tx>
            <c:strRef>
              <c:f>Grafiikka_Grafik!$J$357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Grafiikka_Grafik!$K$353:$L$353</c:f>
            </c:multiLvlStrRef>
          </c:cat>
          <c:val>
            <c:numRef>
              <c:f>Grafiikka_Grafik!$K$357:$L$357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12-49CC-92FB-B559E6D4F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624872"/>
        <c:axId val="605618312"/>
      </c:lineChart>
      <c:catAx>
        <c:axId val="61707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7067000"/>
        <c:crosses val="autoZero"/>
        <c:auto val="1"/>
        <c:lblAlgn val="ctr"/>
        <c:lblOffset val="100"/>
        <c:noMultiLvlLbl val="0"/>
      </c:catAx>
      <c:valAx>
        <c:axId val="617067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Grafiikka_Grafik!$C$360</c:f>
              <c:strCache>
                <c:ptCount val="1"/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7070608"/>
        <c:crosses val="autoZero"/>
        <c:crossBetween val="between"/>
      </c:valAx>
      <c:valAx>
        <c:axId val="605618312"/>
        <c:scaling>
          <c:orientation val="minMax"/>
          <c:min val="0"/>
        </c:scaling>
        <c:delete val="0"/>
        <c:axPos val="r"/>
        <c:title>
          <c:tx>
            <c:strRef>
              <c:f>Grafiikka_Grafik!$C$361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9299860017497813"/>
              <c:y val="0.23726749272619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5624872"/>
        <c:crosses val="max"/>
        <c:crossBetween val="between"/>
      </c:valAx>
      <c:catAx>
        <c:axId val="60562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618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Grafiikka_Grafik!$E$27</c:f>
          <c:strCache>
            <c:ptCount val="1"/>
            <c:pt idx="0">
              <c:v>, </c:v>
            </c:pt>
          </c:strCache>
        </c:strRef>
      </c:tx>
      <c:layout>
        <c:manualLayout>
          <c:xMode val="edge"/>
          <c:yMode val="edge"/>
          <c:x val="0.21131921824104233"/>
          <c:y val="1.5302212675854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61472963617846"/>
          <c:y val="0.1248415283528263"/>
          <c:w val="0.85322843773277834"/>
          <c:h val="0.57474386786717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Grafiikka_Grafik!$A$35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Grafiikka_Grafik!$B$35:$C$35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E-4304-8838-0E49717F9DBE}"/>
            </c:ext>
          </c:extLst>
        </c:ser>
        <c:ser>
          <c:idx val="1"/>
          <c:order val="1"/>
          <c:tx>
            <c:strRef>
              <c:f>Grafiikka_Grafik!$A$36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Grafiikka_Grafik!$B$36:$C$36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E-4304-8838-0E49717F9DBE}"/>
            </c:ext>
          </c:extLst>
        </c:ser>
        <c:ser>
          <c:idx val="2"/>
          <c:order val="2"/>
          <c:tx>
            <c:strRef>
              <c:f>Grafiikka_Grafik!$A$37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Grafiikka_Grafik!$B$37:$C$37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BE-4304-8838-0E49717F9DBE}"/>
            </c:ext>
          </c:extLst>
        </c:ser>
        <c:ser>
          <c:idx val="3"/>
          <c:order val="3"/>
          <c:tx>
            <c:strRef>
              <c:f>Grafiikka_Grafik!$A$38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Grafiikka_Grafik!$B$38:$C$38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E-4304-8838-0E49717F9DBE}"/>
            </c:ext>
          </c:extLst>
        </c:ser>
        <c:ser>
          <c:idx val="4"/>
          <c:order val="4"/>
          <c:tx>
            <c:strRef>
              <c:f>Grafiikka_Grafik!$A$39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Grafiikka_Grafik!$B$39:$C$39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E-4304-8838-0E49717F9DBE}"/>
            </c:ext>
          </c:extLst>
        </c:ser>
        <c:ser>
          <c:idx val="5"/>
          <c:order val="5"/>
          <c:tx>
            <c:strRef>
              <c:f>Grafiikka_Grafik!$A$40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Grafiikka_Grafik!$B$40:$C$40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BE-4304-8838-0E49717F9DBE}"/>
            </c:ext>
          </c:extLst>
        </c:ser>
        <c:ser>
          <c:idx val="6"/>
          <c:order val="6"/>
          <c:tx>
            <c:strRef>
              <c:f>Grafiikka_Grafik!$A$41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9528347163674208E-17"/>
                  <c:y val="5.1007375586183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70-4B16-A336-7CFD3F2F3F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Grafiikka_Grafik!$B$34:$C$34</c:f>
            </c:strRef>
          </c:cat>
          <c:val>
            <c:numRef>
              <c:f>Grafiikka_Grafik!$B$41:$C$41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BE-4304-8838-0E49717F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886008"/>
        <c:axId val="568886664"/>
      </c:barChart>
      <c:catAx>
        <c:axId val="5688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664"/>
        <c:crosses val="autoZero"/>
        <c:auto val="1"/>
        <c:lblAlgn val="ctr"/>
        <c:lblOffset val="100"/>
        <c:noMultiLvlLbl val="0"/>
      </c:catAx>
      <c:valAx>
        <c:axId val="56888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867113045849574E-3"/>
          <c:y val="0.79399645762985427"/>
          <c:w val="0.98964233400310675"/>
          <c:h val="0.17891315647079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Grafiikka_Grafik!$E$500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Grafiikka_Grafik!$A$500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Grafiikka_Grafik!$B$499:$C$499</c:f>
            </c:multiLvlStrRef>
          </c:cat>
          <c:val>
            <c:numRef>
              <c:f>Grafiikka_Grafik!$B$500:$C$500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5-4EDD-840A-570DA5BEBBB3}"/>
            </c:ext>
          </c:extLst>
        </c:ser>
        <c:ser>
          <c:idx val="1"/>
          <c:order val="1"/>
          <c:tx>
            <c:strRef>
              <c:f>Grafiikka_Grafik!$A$501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Grafiikka_Grafik!$B$499:$C$499</c:f>
            </c:multiLvlStrRef>
          </c:cat>
          <c:val>
            <c:numRef>
              <c:f>Grafiikka_Grafik!$B$501:$C$501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5-4EDD-840A-570DA5BEBBB3}"/>
            </c:ext>
          </c:extLst>
        </c:ser>
        <c:ser>
          <c:idx val="2"/>
          <c:order val="2"/>
          <c:tx>
            <c:strRef>
              <c:f>Grafiikka_Grafik!$A$502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Grafiikka_Grafik!$B$499:$C$499</c:f>
            </c:multiLvlStrRef>
          </c:cat>
          <c:val>
            <c:numRef>
              <c:f>Grafiikka_Grafik!$B$502:$C$502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5-4EDD-840A-570DA5BE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301064"/>
        <c:axId val="699305656"/>
      </c:barChart>
      <c:catAx>
        <c:axId val="69930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5656"/>
        <c:crosses val="autoZero"/>
        <c:auto val="1"/>
        <c:lblAlgn val="ctr"/>
        <c:lblOffset val="100"/>
        <c:noMultiLvlLbl val="0"/>
      </c:catAx>
      <c:valAx>
        <c:axId val="699305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Grafiikka_Grafik!$E$500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Grafiikka_Grafik!$A$500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Grafiikka_Grafik!$B$499:$C$499</c:f>
            </c:multiLvlStrRef>
          </c:cat>
          <c:val>
            <c:numRef>
              <c:f>Grafiikka_Grafik!$B$500:$C$500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6B7-B0B8-EC3270FB6DE0}"/>
            </c:ext>
          </c:extLst>
        </c:ser>
        <c:ser>
          <c:idx val="1"/>
          <c:order val="1"/>
          <c:tx>
            <c:strRef>
              <c:f>Grafiikka_Grafik!$A$501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Grafiikka_Grafik!$B$499:$C$499</c:f>
            </c:multiLvlStrRef>
          </c:cat>
          <c:val>
            <c:numRef>
              <c:f>Grafiikka_Grafik!$B$501:$C$501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6-46B7-B0B8-EC3270FB6DE0}"/>
            </c:ext>
          </c:extLst>
        </c:ser>
        <c:ser>
          <c:idx val="2"/>
          <c:order val="2"/>
          <c:tx>
            <c:strRef>
              <c:f>Grafiikka_Grafik!$A$502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Grafiikka_Grafik!$B$499:$C$499</c:f>
            </c:multiLvlStrRef>
          </c:cat>
          <c:val>
            <c:numRef>
              <c:f>Grafiikka_Grafik!$B$502:$C$502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6-46B7-B0B8-EC3270FB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301064"/>
        <c:axId val="699305656"/>
      </c:barChart>
      <c:catAx>
        <c:axId val="69930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5656"/>
        <c:crosses val="autoZero"/>
        <c:auto val="1"/>
        <c:lblAlgn val="ctr"/>
        <c:lblOffset val="100"/>
        <c:noMultiLvlLbl val="0"/>
      </c:catAx>
      <c:valAx>
        <c:axId val="699305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1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Grafiikka_Grafik!$E$501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Grafiikka_Grafik!$A$500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Grafiikka_Grafik!$C$499</c:f>
            </c:multiLvlStrRef>
          </c:cat>
          <c:val>
            <c:numRef>
              <c:f>Grafiikka_Grafik!$C$500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3-48F9-BCD1-4CA605E600A7}"/>
            </c:ext>
          </c:extLst>
        </c:ser>
        <c:ser>
          <c:idx val="1"/>
          <c:order val="1"/>
          <c:tx>
            <c:strRef>
              <c:f>Grafiikka_Grafik!$A$501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Grafiikka_Grafik!$C$499</c:f>
            </c:multiLvlStrRef>
          </c:cat>
          <c:val>
            <c:numRef>
              <c:f>Grafiikka_Grafik!$C$501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3-48F9-BCD1-4CA605E600A7}"/>
            </c:ext>
          </c:extLst>
        </c:ser>
        <c:ser>
          <c:idx val="2"/>
          <c:order val="2"/>
          <c:tx>
            <c:strRef>
              <c:f>Grafiikka_Grafik!$A$502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Grafiikka_Grafik!$C$499</c:f>
            </c:multiLvlStrRef>
          </c:cat>
          <c:val>
            <c:numRef>
              <c:f>Grafiikka_Grafik!$C$502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3-48F9-BCD1-4CA605E6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301064"/>
        <c:axId val="699305656"/>
      </c:barChart>
      <c:catAx>
        <c:axId val="69930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5656"/>
        <c:crosses val="autoZero"/>
        <c:auto val="1"/>
        <c:lblAlgn val="ctr"/>
        <c:lblOffset val="100"/>
        <c:noMultiLvlLbl val="0"/>
      </c:catAx>
      <c:valAx>
        <c:axId val="699305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Grafiikka_Grafik!$E$542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Grafiikka_Grafik!$A$543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Grafiikka_Grafik!$B$542:$C$542</c:f>
            </c:multiLvlStrRef>
          </c:cat>
          <c:val>
            <c:numRef>
              <c:f>Grafiikka_Grafik!$B$543:$C$543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E-4FAC-9E7B-F18C12343A1B}"/>
            </c:ext>
          </c:extLst>
        </c:ser>
        <c:ser>
          <c:idx val="1"/>
          <c:order val="1"/>
          <c:tx>
            <c:strRef>
              <c:f>Grafiikka_Grafik!$A$544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Grafiikka_Grafik!$B$542:$C$542</c:f>
            </c:multiLvlStrRef>
          </c:cat>
          <c:val>
            <c:numRef>
              <c:f>Grafiikka_Grafik!$B$544:$C$544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E-4FAC-9E7B-F18C12343A1B}"/>
            </c:ext>
          </c:extLst>
        </c:ser>
        <c:ser>
          <c:idx val="2"/>
          <c:order val="2"/>
          <c:tx>
            <c:strRef>
              <c:f>Grafiikka_Grafik!$A$545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Grafiikka_Grafik!$B$542:$C$542</c:f>
            </c:multiLvlStrRef>
          </c:cat>
          <c:val>
            <c:numRef>
              <c:f>Grafiikka_Grafik!$B$545:$C$545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E-4FAC-9E7B-F18C1234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51680"/>
        <c:axId val="748354960"/>
      </c:barChart>
      <c:catAx>
        <c:axId val="7483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354960"/>
        <c:crosses val="autoZero"/>
        <c:auto val="1"/>
        <c:lblAlgn val="ctr"/>
        <c:lblOffset val="100"/>
        <c:noMultiLvlLbl val="0"/>
      </c:catAx>
      <c:valAx>
        <c:axId val="748354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35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Grafiikka_Grafik!$E$501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Grafiikka_Grafik!$A$500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Grafiikka_Grafik!$C$499</c:f>
            </c:multiLvlStrRef>
          </c:cat>
          <c:val>
            <c:numRef>
              <c:f>Grafiikka_Grafik!$C$500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9-41F0-B65A-80896CEA821F}"/>
            </c:ext>
          </c:extLst>
        </c:ser>
        <c:ser>
          <c:idx val="1"/>
          <c:order val="1"/>
          <c:tx>
            <c:strRef>
              <c:f>Grafiikka_Grafik!$A$501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Grafiikka_Grafik!$C$499</c:f>
            </c:multiLvlStrRef>
          </c:cat>
          <c:val>
            <c:numRef>
              <c:f>Grafiikka_Grafik!$C$501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9-41F0-B65A-80896CEA821F}"/>
            </c:ext>
          </c:extLst>
        </c:ser>
        <c:ser>
          <c:idx val="2"/>
          <c:order val="2"/>
          <c:tx>
            <c:strRef>
              <c:f>Grafiikka_Grafik!$A$502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Grafiikka_Grafik!$C$499</c:f>
            </c:multiLvlStrRef>
          </c:cat>
          <c:val>
            <c:numRef>
              <c:f>Grafiikka_Grafik!$C$502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9-41F0-B65A-80896CEA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301064"/>
        <c:axId val="699305656"/>
      </c:barChart>
      <c:catAx>
        <c:axId val="69930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5656"/>
        <c:crosses val="autoZero"/>
        <c:auto val="1"/>
        <c:lblAlgn val="ctr"/>
        <c:lblOffset val="100"/>
        <c:noMultiLvlLbl val="0"/>
      </c:catAx>
      <c:valAx>
        <c:axId val="699305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9301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Grafiikka_Grafik!$E$542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Grafiikka_Grafik!$A$543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Grafiikka_Grafik!$B$542:$C$542</c:f>
            </c:multiLvlStrRef>
          </c:cat>
          <c:val>
            <c:numRef>
              <c:f>Grafiikka_Grafik!$B$543:$C$543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F-4C87-8053-5650410D4230}"/>
            </c:ext>
          </c:extLst>
        </c:ser>
        <c:ser>
          <c:idx val="1"/>
          <c:order val="1"/>
          <c:tx>
            <c:strRef>
              <c:f>Grafiikka_Grafik!$A$544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Grafiikka_Grafik!$B$542:$C$542</c:f>
            </c:multiLvlStrRef>
          </c:cat>
          <c:val>
            <c:numRef>
              <c:f>Grafiikka_Grafik!$B$544:$C$544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F-4C87-8053-5650410D4230}"/>
            </c:ext>
          </c:extLst>
        </c:ser>
        <c:ser>
          <c:idx val="2"/>
          <c:order val="2"/>
          <c:tx>
            <c:strRef>
              <c:f>Grafiikka_Grafik!$A$545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Grafiikka_Grafik!$B$542:$C$542</c:f>
            </c:multiLvlStrRef>
          </c:cat>
          <c:val>
            <c:numRef>
              <c:f>Grafiikka_Grafik!$B$545:$C$545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F-4C87-8053-5650410D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51680"/>
        <c:axId val="748354960"/>
      </c:barChart>
      <c:catAx>
        <c:axId val="74835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8354960"/>
        <c:crosses val="autoZero"/>
        <c:auto val="1"/>
        <c:lblAlgn val="ctr"/>
        <c:lblOffset val="100"/>
        <c:noMultiLvlLbl val="0"/>
      </c:catAx>
      <c:valAx>
        <c:axId val="748354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351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Grafiikka_Grafik!$E$543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Grafiikka_Grafik!$A$543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Grafiikka_Grafik!$C$542</c:f>
            </c:multiLvlStrRef>
          </c:cat>
          <c:val>
            <c:numRef>
              <c:f>Grafiikka_Grafik!$C$543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3-4423-A127-779ED0DDA15A}"/>
            </c:ext>
          </c:extLst>
        </c:ser>
        <c:ser>
          <c:idx val="1"/>
          <c:order val="1"/>
          <c:tx>
            <c:strRef>
              <c:f>Grafiikka_Grafik!$A$544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Grafiikka_Grafik!$C$542</c:f>
            </c:multiLvlStrRef>
          </c:cat>
          <c:val>
            <c:numRef>
              <c:f>Grafiikka_Grafik!$C$544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3-4423-A127-779ED0DDA15A}"/>
            </c:ext>
          </c:extLst>
        </c:ser>
        <c:ser>
          <c:idx val="2"/>
          <c:order val="2"/>
          <c:tx>
            <c:strRef>
              <c:f>Grafiikka_Grafik!$A$545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Grafiikka_Grafik!$C$542</c:f>
            </c:multiLvlStrRef>
          </c:cat>
          <c:val>
            <c:numRef>
              <c:f>Grafiikka_Grafik!$C$545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03-4423-A127-779ED0DD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51680"/>
        <c:axId val="748354960"/>
      </c:barChart>
      <c:catAx>
        <c:axId val="7483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354960"/>
        <c:crosses val="autoZero"/>
        <c:auto val="1"/>
        <c:lblAlgn val="ctr"/>
        <c:lblOffset val="100"/>
        <c:noMultiLvlLbl val="0"/>
      </c:catAx>
      <c:valAx>
        <c:axId val="748354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35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Grafiikka_Grafik!$E$543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Grafiikka_Grafik!$A$543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Grafiikka_Grafik!$C$542</c:f>
            </c:multiLvlStrRef>
          </c:cat>
          <c:val>
            <c:numRef>
              <c:f>Grafiikka_Grafik!$C$543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D-4918-BDA9-62426062AAA2}"/>
            </c:ext>
          </c:extLst>
        </c:ser>
        <c:ser>
          <c:idx val="1"/>
          <c:order val="1"/>
          <c:tx>
            <c:strRef>
              <c:f>Grafiikka_Grafik!$A$544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Grafiikka_Grafik!$C$542</c:f>
            </c:multiLvlStrRef>
          </c:cat>
          <c:val>
            <c:numRef>
              <c:f>Grafiikka_Grafik!$C$544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D-4918-BDA9-62426062AAA2}"/>
            </c:ext>
          </c:extLst>
        </c:ser>
        <c:ser>
          <c:idx val="2"/>
          <c:order val="2"/>
          <c:tx>
            <c:strRef>
              <c:f>Grafiikka_Grafik!$A$545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Grafiikka_Grafik!$C$542</c:f>
            </c:multiLvlStrRef>
          </c:cat>
          <c:val>
            <c:numRef>
              <c:f>Grafiikka_Grafik!$C$545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D-4918-BDA9-62426062A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51680"/>
        <c:axId val="748354960"/>
      </c:barChart>
      <c:catAx>
        <c:axId val="74835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8354960"/>
        <c:crosses val="autoZero"/>
        <c:auto val="1"/>
        <c:lblAlgn val="ctr"/>
        <c:lblOffset val="100"/>
        <c:noMultiLvlLbl val="0"/>
      </c:catAx>
      <c:valAx>
        <c:axId val="748354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351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Grafiikka_Grafik!$E$587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Grafiikka_Grafik!$A$588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Grafiikka_Grafik!$B$587:$C$587</c:f>
            </c:multiLvlStrRef>
          </c:cat>
          <c:val>
            <c:numRef>
              <c:f>Grafiikka_Grafik!$B$588:$C$588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7-4800-9618-3489B0614155}"/>
            </c:ext>
          </c:extLst>
        </c:ser>
        <c:ser>
          <c:idx val="1"/>
          <c:order val="1"/>
          <c:tx>
            <c:strRef>
              <c:f>Grafiikka_Grafik!$A$589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Grafiikka_Grafik!$B$587:$C$587</c:f>
            </c:multiLvlStrRef>
          </c:cat>
          <c:val>
            <c:numRef>
              <c:f>Grafiikka_Grafik!$B$589:$C$589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97-4800-9618-3489B0614155}"/>
            </c:ext>
          </c:extLst>
        </c:ser>
        <c:ser>
          <c:idx val="2"/>
          <c:order val="2"/>
          <c:tx>
            <c:strRef>
              <c:f>Grafiikka_Grafik!$A$590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Grafiikka_Grafik!$B$587:$C$587</c:f>
            </c:multiLvlStrRef>
          </c:cat>
          <c:val>
            <c:numRef>
              <c:f>Grafiikka_Grafik!$B$590:$C$590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7-4800-9618-3489B0614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804448"/>
        <c:axId val="693800512"/>
      </c:barChart>
      <c:catAx>
        <c:axId val="6938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800512"/>
        <c:crosses val="autoZero"/>
        <c:auto val="1"/>
        <c:lblAlgn val="ctr"/>
        <c:lblOffset val="100"/>
        <c:noMultiLvlLbl val="0"/>
      </c:catAx>
      <c:valAx>
        <c:axId val="693800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80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Grafiikka_Grafik!$E$587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Grafiikka_Grafik!$A$588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Grafiikka_Grafik!$B$587:$C$587</c:f>
            </c:multiLvlStrRef>
          </c:cat>
          <c:val>
            <c:numRef>
              <c:f>Grafiikka_Grafik!$B$588:$C$588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6-4459-9EEF-AFA270F5DB2A}"/>
            </c:ext>
          </c:extLst>
        </c:ser>
        <c:ser>
          <c:idx val="1"/>
          <c:order val="1"/>
          <c:tx>
            <c:strRef>
              <c:f>Grafiikka_Grafik!$A$589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Grafiikka_Grafik!$B$587:$C$587</c:f>
            </c:multiLvlStrRef>
          </c:cat>
          <c:val>
            <c:numRef>
              <c:f>Grafiikka_Grafik!$B$589:$C$589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6-4459-9EEF-AFA270F5DB2A}"/>
            </c:ext>
          </c:extLst>
        </c:ser>
        <c:ser>
          <c:idx val="2"/>
          <c:order val="2"/>
          <c:tx>
            <c:strRef>
              <c:f>Grafiikka_Grafik!$A$590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Grafiikka_Grafik!$B$587:$C$587</c:f>
            </c:multiLvlStrRef>
          </c:cat>
          <c:val>
            <c:numRef>
              <c:f>Grafiikka_Grafik!$B$590:$C$590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6-4459-9EEF-AFA270F5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804448"/>
        <c:axId val="693800512"/>
      </c:barChart>
      <c:catAx>
        <c:axId val="69380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3800512"/>
        <c:crosses val="autoZero"/>
        <c:auto val="1"/>
        <c:lblAlgn val="ctr"/>
        <c:lblOffset val="100"/>
        <c:noMultiLvlLbl val="0"/>
      </c:catAx>
      <c:valAx>
        <c:axId val="693800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80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2830505690772732"/>
          <c:y val="0.15644697856873171"/>
          <c:w val="0.64106083906745137"/>
          <c:h val="0.3228253210495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Grafiikka_Grafik!$A$35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Grafiikka_Grafik!$B$35:$C$35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E-4D74-AD83-F429D7E0B323}"/>
            </c:ext>
          </c:extLst>
        </c:ser>
        <c:ser>
          <c:idx val="1"/>
          <c:order val="1"/>
          <c:tx>
            <c:strRef>
              <c:f>Grafiikka_Grafik!$A$36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Grafiikka_Grafik!$B$36:$C$36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E-4D74-AD83-F429D7E0B323}"/>
            </c:ext>
          </c:extLst>
        </c:ser>
        <c:ser>
          <c:idx val="2"/>
          <c:order val="2"/>
          <c:tx>
            <c:strRef>
              <c:f>Grafiikka_Grafik!$A$37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Grafiikka_Grafik!$B$37:$C$37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BE-4D74-AD83-F429D7E0B323}"/>
            </c:ext>
          </c:extLst>
        </c:ser>
        <c:ser>
          <c:idx val="3"/>
          <c:order val="3"/>
          <c:tx>
            <c:strRef>
              <c:f>Grafiikka_Grafik!$A$38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Grafiikka_Grafik!$B$38:$C$38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BE-4D74-AD83-F429D7E0B323}"/>
            </c:ext>
          </c:extLst>
        </c:ser>
        <c:ser>
          <c:idx val="4"/>
          <c:order val="4"/>
          <c:tx>
            <c:strRef>
              <c:f>Grafiikka_Grafik!$A$39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Grafiikka_Grafik!$B$39:$C$39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BE-4D74-AD83-F429D7E0B323}"/>
            </c:ext>
          </c:extLst>
        </c:ser>
        <c:ser>
          <c:idx val="5"/>
          <c:order val="5"/>
          <c:tx>
            <c:strRef>
              <c:f>Grafiikka_Grafik!$A$40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Grafiikka_Grafik!$B$40:$C$40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BE-4D74-AD83-F429D7E0B323}"/>
            </c:ext>
          </c:extLst>
        </c:ser>
        <c:ser>
          <c:idx val="6"/>
          <c:order val="6"/>
          <c:tx>
            <c:strRef>
              <c:f>Grafiikka_Grafik!$A$41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Grafiikka_Grafik!$B$34:$C$34</c:f>
            </c:strRef>
          </c:cat>
          <c:val>
            <c:numRef>
              <c:f>Grafiikka_Grafik!$B$41:$C$41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BE-4D74-AD83-F429D7E0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86008"/>
        <c:axId val="568886664"/>
      </c:barChart>
      <c:catAx>
        <c:axId val="56888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664"/>
        <c:crosses val="autoZero"/>
        <c:auto val="1"/>
        <c:lblAlgn val="ctr"/>
        <c:lblOffset val="100"/>
        <c:noMultiLvlLbl val="0"/>
      </c:catAx>
      <c:valAx>
        <c:axId val="56888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Grafiikka_Grafik!$E$588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Grafiikka_Grafik!$A$588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Grafiikka_Grafik!$C$587</c:f>
            </c:multiLvlStrRef>
          </c:cat>
          <c:val>
            <c:numRef>
              <c:f>Grafiikka_Grafik!$C$588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8-4DEE-B90F-D21A5B3219E3}"/>
            </c:ext>
          </c:extLst>
        </c:ser>
        <c:ser>
          <c:idx val="1"/>
          <c:order val="1"/>
          <c:tx>
            <c:strRef>
              <c:f>Grafiikka_Grafik!$A$589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Grafiikka_Grafik!$C$587</c:f>
            </c:multiLvlStrRef>
          </c:cat>
          <c:val>
            <c:numRef>
              <c:f>Grafiikka_Grafik!$C$589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8-4DEE-B90F-D21A5B3219E3}"/>
            </c:ext>
          </c:extLst>
        </c:ser>
        <c:ser>
          <c:idx val="2"/>
          <c:order val="2"/>
          <c:tx>
            <c:strRef>
              <c:f>Grafiikka_Grafik!$A$590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Grafiikka_Grafik!$C$587</c:f>
            </c:multiLvlStrRef>
          </c:cat>
          <c:val>
            <c:numRef>
              <c:f>Grafiikka_Grafik!$C$590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8-4DEE-B90F-D21A5B321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804448"/>
        <c:axId val="693800512"/>
      </c:barChart>
      <c:catAx>
        <c:axId val="6938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800512"/>
        <c:crosses val="autoZero"/>
        <c:auto val="1"/>
        <c:lblAlgn val="ctr"/>
        <c:lblOffset val="100"/>
        <c:noMultiLvlLbl val="0"/>
      </c:catAx>
      <c:valAx>
        <c:axId val="693800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80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Grafiikka_Grafik!$E$588</c:f>
          <c:strCache>
            <c:ptCount val="1"/>
            <c:pt idx="0">
              <c:v>EPÄTOSI,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Grafiikka_Grafik!$A$588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Grafiikka_Grafik!$C$587</c:f>
            </c:multiLvlStrRef>
          </c:cat>
          <c:val>
            <c:numRef>
              <c:f>Grafiikka_Grafik!$C$588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4-4629-9B95-C22515BB3096}"/>
            </c:ext>
          </c:extLst>
        </c:ser>
        <c:ser>
          <c:idx val="1"/>
          <c:order val="1"/>
          <c:tx>
            <c:strRef>
              <c:f>Grafiikka_Grafik!$A$589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Grafiikka_Grafik!$C$587</c:f>
            </c:multiLvlStrRef>
          </c:cat>
          <c:val>
            <c:numRef>
              <c:f>Grafiikka_Grafik!$C$589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4-4629-9B95-C22515BB3096}"/>
            </c:ext>
          </c:extLst>
        </c:ser>
        <c:ser>
          <c:idx val="2"/>
          <c:order val="2"/>
          <c:tx>
            <c:strRef>
              <c:f>Grafiikka_Grafik!$A$590</c:f>
              <c:strCache>
                <c:ptCount val="1"/>
                <c:pt idx="0">
                  <c:v>EPÄTOSI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Grafiikka_Grafik!$C$587</c:f>
            </c:multiLvlStrRef>
          </c:cat>
          <c:val>
            <c:numRef>
              <c:f>Grafiikka_Grafik!$C$590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4-4629-9B95-C22515BB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804448"/>
        <c:axId val="693800512"/>
      </c:barChart>
      <c:catAx>
        <c:axId val="69380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3800512"/>
        <c:crosses val="autoZero"/>
        <c:auto val="1"/>
        <c:lblAlgn val="ctr"/>
        <c:lblOffset val="100"/>
        <c:noMultiLvlLbl val="0"/>
      </c:catAx>
      <c:valAx>
        <c:axId val="693800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80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Grafiikka_Grafik!$E$629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Grafiikka_Grafik!$A$630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Grafiikka_Grafik!$B$630:$C$630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4-4896-99D5-60EA6B53991B}"/>
            </c:ext>
          </c:extLst>
        </c:ser>
        <c:ser>
          <c:idx val="1"/>
          <c:order val="1"/>
          <c:tx>
            <c:strRef>
              <c:f>Grafiikka_Grafik!$A$631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Grafiikka_Grafik!$B$631:$C$631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4-4896-99D5-60EA6B53991B}"/>
            </c:ext>
          </c:extLst>
        </c:ser>
        <c:ser>
          <c:idx val="2"/>
          <c:order val="2"/>
          <c:tx>
            <c:strRef>
              <c:f>Grafiikka_Grafik!$A$632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Grafiikka_Grafik!$B$632:$C$632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4-4896-99D5-60EA6B53991B}"/>
            </c:ext>
          </c:extLst>
        </c:ser>
        <c:ser>
          <c:idx val="3"/>
          <c:order val="3"/>
          <c:tx>
            <c:strRef>
              <c:f>Grafiikka_Grafik!$A$633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Grafiikka_Grafik!$B$633:$C$633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4-4896-99D5-60EA6B53991B}"/>
            </c:ext>
          </c:extLst>
        </c:ser>
        <c:ser>
          <c:idx val="4"/>
          <c:order val="4"/>
          <c:tx>
            <c:strRef>
              <c:f>Grafiikka_Grafik!$A$634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Grafiikka_Grafik!$B$634:$C$634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4-4896-99D5-60EA6B53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Grafiikka_Grafik!$E$629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Grafiikka_Grafik!$A$630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Grafiikka_Grafik!$B$630:$C$630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4-43DE-96B1-8D158CC819F1}"/>
            </c:ext>
          </c:extLst>
        </c:ser>
        <c:ser>
          <c:idx val="1"/>
          <c:order val="1"/>
          <c:tx>
            <c:strRef>
              <c:f>Grafiikka_Grafik!$A$631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Grafiikka_Grafik!$B$631:$C$631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4-43DE-96B1-8D158CC819F1}"/>
            </c:ext>
          </c:extLst>
        </c:ser>
        <c:ser>
          <c:idx val="2"/>
          <c:order val="2"/>
          <c:tx>
            <c:strRef>
              <c:f>Grafiikka_Grafik!$A$632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Grafiikka_Grafik!$B$632:$C$632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4-43DE-96B1-8D158CC819F1}"/>
            </c:ext>
          </c:extLst>
        </c:ser>
        <c:ser>
          <c:idx val="3"/>
          <c:order val="3"/>
          <c:tx>
            <c:strRef>
              <c:f>Grafiikka_Grafik!$A$633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Grafiikka_Grafik!$B$633:$C$633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4-43DE-96B1-8D158CC819F1}"/>
            </c:ext>
          </c:extLst>
        </c:ser>
        <c:ser>
          <c:idx val="4"/>
          <c:order val="4"/>
          <c:tx>
            <c:strRef>
              <c:f>Grafiikka_Grafik!$A$634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Grafiikka_Grafik!$B$629:$C$629</c:f>
            </c:multiLvlStrRef>
          </c:cat>
          <c:val>
            <c:numRef>
              <c:f>Grafiikka_Grafik!$B$634:$C$634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4-43DE-96B1-8D158CC81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Grafiikka_Grafik!$B$722:$C$722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B-4CAF-A967-8CF052DF42FF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Grafiikka_Grafik!$B$723:$C$723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B-4CAF-A967-8CF052DF42FF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Grafiikka_Grafik!$B$724:$C$724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B-4CAF-A967-8CF052DF42FF}"/>
            </c:ext>
          </c:extLst>
        </c:ser>
        <c:ser>
          <c:idx val="3"/>
          <c:order val="3"/>
          <c:tx>
            <c:strRef>
              <c:f>Grafiikka_Grafik!$A$725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Grafiikka_Grafik!$B$725:$C$725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B-4CAF-A967-8CF052DF42FF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Grafiikka_Grafik!$B$726:$C$726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B-4CAF-A967-8CF052DF42FF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Grafiikka_Grafik!$B$727:$C$727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B-4CAF-A967-8CF052DF42FF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Grafiikka_Grafik!$B$728:$C$728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8B-4CAF-A967-8CF052DF42FF}"/>
            </c:ext>
          </c:extLst>
        </c:ser>
        <c:ser>
          <c:idx val="7"/>
          <c:order val="7"/>
          <c:tx>
            <c:strRef>
              <c:f>Grafiikka_Grafik!$A$729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Grafiikka_Grafik!$B$729:$C$729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8B-4CAF-A967-8CF052DF42FF}"/>
            </c:ext>
          </c:extLst>
        </c:ser>
        <c:ser>
          <c:idx val="8"/>
          <c:order val="8"/>
          <c:tx>
            <c:strRef>
              <c:f>Grafiikka_Grafik!$A$730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Grafiikka_Grafik!$B$730:$C$730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8B-4CAF-A967-8CF052D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Grafiikka_Grafik!$B$722:$C$722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0-47F8-8CAC-654D6CDF18F8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Grafiikka_Grafik!$B$723:$C$723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0-47F8-8CAC-654D6CDF18F8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Grafiikka_Grafik!$B$724:$C$724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0-47F8-8CAC-654D6CDF18F8}"/>
            </c:ext>
          </c:extLst>
        </c:ser>
        <c:ser>
          <c:idx val="3"/>
          <c:order val="3"/>
          <c:tx>
            <c:strRef>
              <c:f>Grafiikka_Grafik!$A$725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Grafiikka_Grafik!$B$725:$C$725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20-47F8-8CAC-654D6CDF18F8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Grafiikka_Grafik!$B$726:$C$726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20-47F8-8CAC-654D6CDF18F8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Grafiikka_Grafik!$B$727:$C$727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20-47F8-8CAC-654D6CDF18F8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Grafiikka_Grafik!$B$728:$C$728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20-47F8-8CAC-654D6CDF18F8}"/>
            </c:ext>
          </c:extLst>
        </c:ser>
        <c:ser>
          <c:idx val="7"/>
          <c:order val="7"/>
          <c:tx>
            <c:strRef>
              <c:f>Grafiikka_Grafik!$A$729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Grafiikka_Grafik!$B$729:$C$729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20-47F8-8CAC-654D6CDF18F8}"/>
            </c:ext>
          </c:extLst>
        </c:ser>
        <c:ser>
          <c:idx val="8"/>
          <c:order val="8"/>
          <c:tx>
            <c:strRef>
              <c:f>Grafiikka_Grafik!$A$730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Grafiikka_Grafik!$B$730:$C$730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20-47F8-8CAC-654D6CDF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4-4208-8FAA-B3578C4B3ADC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4-4208-8FAA-B3578C4B3ADC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4-4208-8FAA-B3578C4B3ADC}"/>
            </c:ext>
          </c:extLst>
        </c:ser>
        <c:ser>
          <c:idx val="3"/>
          <c:order val="3"/>
          <c:tx>
            <c:strRef>
              <c:f>Grafiikka_Grafik!$A$725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94-4208-8FAA-B3578C4B3ADC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4-4208-8FAA-B3578C4B3ADC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94-4208-8FAA-B3578C4B3ADC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94-4208-8FAA-B3578C4B3ADC}"/>
            </c:ext>
          </c:extLst>
        </c:ser>
        <c:ser>
          <c:idx val="7"/>
          <c:order val="7"/>
          <c:tx>
            <c:strRef>
              <c:f>Grafiikka_Grafik!$A$729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94-4208-8FAA-B3578C4B3ADC}"/>
            </c:ext>
          </c:extLst>
        </c:ser>
        <c:ser>
          <c:idx val="8"/>
          <c:order val="8"/>
          <c:tx>
            <c:strRef>
              <c:f>Grafiikka_Grafik!$A$730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Grafiikka_Grafik!$C$730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94-4208-8FAA-B3578C4B3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3-4C7F-B4F5-5FC6CC1662A9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3-4C7F-B4F5-5FC6CC1662A9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3-4C7F-B4F5-5FC6CC1662A9}"/>
            </c:ext>
          </c:extLst>
        </c:ser>
        <c:ser>
          <c:idx val="3"/>
          <c:order val="3"/>
          <c:tx>
            <c:strRef>
              <c:f>Grafiikka_Grafik!$A$725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3-4C7F-B4F5-5FC6CC1662A9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3-4C7F-B4F5-5FC6CC1662A9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33-4C7F-B4F5-5FC6CC1662A9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3-4C7F-B4F5-5FC6CC1662A9}"/>
            </c:ext>
          </c:extLst>
        </c:ser>
        <c:ser>
          <c:idx val="7"/>
          <c:order val="7"/>
          <c:tx>
            <c:strRef>
              <c:f>Grafiikka_Grafik!$A$729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33-4C7F-B4F5-5FC6CC1662A9}"/>
            </c:ext>
          </c:extLst>
        </c:ser>
        <c:ser>
          <c:idx val="8"/>
          <c:order val="8"/>
          <c:tx>
            <c:strRef>
              <c:f>Grafiikka_Grafik!$A$730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Grafiikka_Grafik!$C$730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33-4C7F-B4F5-5FC6CC166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Grafiikka_Grafik!$E$676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Grafiikka_Grafik!$A$677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Grafiikka_Grafik!$B$677:$C$677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BA3-83C3-C1A5C562641C}"/>
            </c:ext>
          </c:extLst>
        </c:ser>
        <c:ser>
          <c:idx val="1"/>
          <c:order val="1"/>
          <c:tx>
            <c:strRef>
              <c:f>Grafiikka_Grafik!$A$678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Grafiikka_Grafik!$B$678:$C$678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3-4BA3-83C3-C1A5C562641C}"/>
            </c:ext>
          </c:extLst>
        </c:ser>
        <c:ser>
          <c:idx val="2"/>
          <c:order val="2"/>
          <c:tx>
            <c:strRef>
              <c:f>Grafiikka_Grafik!$A$679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Grafiikka_Grafik!$B$679:$C$679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3-4BA3-83C3-C1A5C562641C}"/>
            </c:ext>
          </c:extLst>
        </c:ser>
        <c:ser>
          <c:idx val="3"/>
          <c:order val="3"/>
          <c:tx>
            <c:strRef>
              <c:f>Grafiikka_Grafik!$A$680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Grafiikka_Grafik!$B$680:$C$680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3-4BA3-83C3-C1A5C562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107584"/>
        <c:axId val="825107912"/>
      </c:barChart>
      <c:catAx>
        <c:axId val="8251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5107912"/>
        <c:crosses val="autoZero"/>
        <c:auto val="1"/>
        <c:lblAlgn val="ctr"/>
        <c:lblOffset val="100"/>
        <c:noMultiLvlLbl val="0"/>
      </c:catAx>
      <c:valAx>
        <c:axId val="825107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510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Grafiikka_Grafik!$E$676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Grafiikka_Grafik!$A$677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Grafiikka_Grafik!$B$677:$C$677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8-4836-9557-BCE71931EC9F}"/>
            </c:ext>
          </c:extLst>
        </c:ser>
        <c:ser>
          <c:idx val="1"/>
          <c:order val="1"/>
          <c:tx>
            <c:strRef>
              <c:f>Grafiikka_Grafik!$A$678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Grafiikka_Grafik!$B$678:$C$678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8-4836-9557-BCE71931EC9F}"/>
            </c:ext>
          </c:extLst>
        </c:ser>
        <c:ser>
          <c:idx val="2"/>
          <c:order val="2"/>
          <c:tx>
            <c:strRef>
              <c:f>Grafiikka_Grafik!$A$679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Grafiikka_Grafik!$B$679:$C$679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8-4836-9557-BCE71931EC9F}"/>
            </c:ext>
          </c:extLst>
        </c:ser>
        <c:ser>
          <c:idx val="3"/>
          <c:order val="3"/>
          <c:tx>
            <c:strRef>
              <c:f>Grafiikka_Grafik!$A$680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Grafiikka_Grafik!$B$676:$C$676</c:f>
            </c:multiLvlStrRef>
          </c:cat>
          <c:val>
            <c:numRef>
              <c:f>Grafiikka_Grafik!$B$680:$C$680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8-4836-9557-BCE71931E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107584"/>
        <c:axId val="825107912"/>
      </c:barChart>
      <c:catAx>
        <c:axId val="82510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5107912"/>
        <c:crosses val="autoZero"/>
        <c:auto val="1"/>
        <c:lblAlgn val="ctr"/>
        <c:lblOffset val="100"/>
        <c:noMultiLvlLbl val="0"/>
      </c:catAx>
      <c:valAx>
        <c:axId val="825107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510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Grafiikka_Grafik!$L$47</c:f>
          <c:strCache>
            <c:ptCount val="1"/>
            <c:pt idx="0">
              <c:v>, </c:v>
            </c:pt>
          </c:strCache>
        </c:strRef>
      </c:tx>
      <c:layout>
        <c:manualLayout>
          <c:xMode val="edge"/>
          <c:yMode val="edge"/>
          <c:x val="0.20467785366237634"/>
          <c:y val="4.1666651477598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61472963617846"/>
          <c:y val="0.1248415283528263"/>
          <c:w val="0.85322843773277834"/>
          <c:h val="0.57474386786717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Grafiikka_Grafik!$A$35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Grafiikka_Grafik!$C$35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B-4CAB-8575-316A432391DF}"/>
            </c:ext>
          </c:extLst>
        </c:ser>
        <c:ser>
          <c:idx val="1"/>
          <c:order val="1"/>
          <c:tx>
            <c:strRef>
              <c:f>Grafiikka_Grafik!$A$36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Grafiikka_Grafik!$C$36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B-4CAB-8575-316A432391DF}"/>
            </c:ext>
          </c:extLst>
        </c:ser>
        <c:ser>
          <c:idx val="2"/>
          <c:order val="2"/>
          <c:tx>
            <c:strRef>
              <c:f>Grafiikka_Grafik!$A$37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Grafiikka_Grafik!$C$37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B-4CAB-8575-316A432391DF}"/>
            </c:ext>
          </c:extLst>
        </c:ser>
        <c:ser>
          <c:idx val="3"/>
          <c:order val="3"/>
          <c:tx>
            <c:strRef>
              <c:f>Grafiikka_Grafik!$A$38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Grafiikka_Grafik!$C$38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B-4CAB-8575-316A432391DF}"/>
            </c:ext>
          </c:extLst>
        </c:ser>
        <c:ser>
          <c:idx val="4"/>
          <c:order val="4"/>
          <c:tx>
            <c:strRef>
              <c:f>Grafiikka_Grafik!$A$39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Grafiikka_Grafik!$C$39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7B-4CAB-8575-316A432391DF}"/>
            </c:ext>
          </c:extLst>
        </c:ser>
        <c:ser>
          <c:idx val="5"/>
          <c:order val="5"/>
          <c:tx>
            <c:strRef>
              <c:f>Grafiikka_Grafik!$A$40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Grafiikka_Grafik!$C$40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7B-4CAB-8575-316A432391DF}"/>
            </c:ext>
          </c:extLst>
        </c:ser>
        <c:ser>
          <c:idx val="6"/>
          <c:order val="6"/>
          <c:tx>
            <c:strRef>
              <c:f>Grafiikka_Grafik!$A$41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Grafiikka_Grafik!$C$34</c:f>
            </c:strRef>
          </c:cat>
          <c:val>
            <c:numRef>
              <c:f>Grafiikka_Grafik!$C$41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7B-4CAB-8575-316A4323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886008"/>
        <c:axId val="568886664"/>
      </c:barChart>
      <c:catAx>
        <c:axId val="568886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8886664"/>
        <c:crosses val="autoZero"/>
        <c:auto val="1"/>
        <c:lblAlgn val="ctr"/>
        <c:lblOffset val="100"/>
        <c:noMultiLvlLbl val="0"/>
      </c:catAx>
      <c:valAx>
        <c:axId val="56888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888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867113045849574E-3"/>
          <c:y val="0.79399645762985427"/>
          <c:w val="0.98964233400310675"/>
          <c:h val="0.17891315647079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Grafiikka_Grafik!$E$677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Grafiikka_Grafik!$A$677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Grafiikka_Grafik!$C$677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498-B3D9-E8DE7C63F134}"/>
            </c:ext>
          </c:extLst>
        </c:ser>
        <c:ser>
          <c:idx val="1"/>
          <c:order val="1"/>
          <c:tx>
            <c:strRef>
              <c:f>Grafiikka_Grafik!$A$678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Grafiikka_Grafik!$C$678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6-4498-B3D9-E8DE7C63F134}"/>
            </c:ext>
          </c:extLst>
        </c:ser>
        <c:ser>
          <c:idx val="2"/>
          <c:order val="2"/>
          <c:tx>
            <c:strRef>
              <c:f>Grafiikka_Grafik!$A$679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Grafiikka_Grafik!$C$679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6-4498-B3D9-E8DE7C63F134}"/>
            </c:ext>
          </c:extLst>
        </c:ser>
        <c:ser>
          <c:idx val="3"/>
          <c:order val="3"/>
          <c:tx>
            <c:strRef>
              <c:f>Grafiikka_Grafik!$A$680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Grafiikka_Grafik!$C$680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56-4498-B3D9-E8DE7C63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107584"/>
        <c:axId val="825107912"/>
      </c:barChart>
      <c:catAx>
        <c:axId val="82510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5107912"/>
        <c:crosses val="autoZero"/>
        <c:auto val="1"/>
        <c:lblAlgn val="ctr"/>
        <c:lblOffset val="100"/>
        <c:noMultiLvlLbl val="0"/>
      </c:catAx>
      <c:valAx>
        <c:axId val="825107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510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Grafiikka_Grafik!$E$677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Grafiikka_Grafik!$A$677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Grafiikka_Grafik!$C$677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F-4CA9-BD34-F78ACD1B3F1E}"/>
            </c:ext>
          </c:extLst>
        </c:ser>
        <c:ser>
          <c:idx val="1"/>
          <c:order val="1"/>
          <c:tx>
            <c:strRef>
              <c:f>Grafiikka_Grafik!$A$678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Grafiikka_Grafik!$C$678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F-4CA9-BD34-F78ACD1B3F1E}"/>
            </c:ext>
          </c:extLst>
        </c:ser>
        <c:ser>
          <c:idx val="2"/>
          <c:order val="2"/>
          <c:tx>
            <c:strRef>
              <c:f>Grafiikka_Grafik!$A$679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Grafiikka_Grafik!$C$679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F-4CA9-BD34-F78ACD1B3F1E}"/>
            </c:ext>
          </c:extLst>
        </c:ser>
        <c:ser>
          <c:idx val="3"/>
          <c:order val="3"/>
          <c:tx>
            <c:strRef>
              <c:f>Grafiikka_Grafik!$A$680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Grafiikka_Grafik!$C$676</c:f>
            </c:multiLvlStrRef>
          </c:cat>
          <c:val>
            <c:numRef>
              <c:f>Grafiikka_Grafik!$C$680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F-4CA9-BD34-F78ACD1B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107584"/>
        <c:axId val="825107912"/>
      </c:barChart>
      <c:catAx>
        <c:axId val="825107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5107912"/>
        <c:crosses val="autoZero"/>
        <c:auto val="1"/>
        <c:lblAlgn val="ctr"/>
        <c:lblOffset val="100"/>
        <c:noMultiLvlLbl val="0"/>
      </c:catAx>
      <c:valAx>
        <c:axId val="825107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510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Grafiikka_Grafik!$E$722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Grafiikka_Grafik!$B$722:$C$722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6-4887-B0D1-62F5E6C2487F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Grafiikka_Grafik!$B$723:$C$723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6-4887-B0D1-62F5E6C2487F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Grafiikka_Grafik!$B$724:$C$724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6-4887-B0D1-62F5E6C2487F}"/>
            </c:ext>
          </c:extLst>
        </c:ser>
        <c:ser>
          <c:idx val="9"/>
          <c:order val="9"/>
          <c:tx>
            <c:strRef>
              <c:f>Grafiikka_Grafik!$A$731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Grafiikka_Grafik!$B$731:$C$731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36-4887-B0D1-62F5E6C24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Grafiikka_Grafik!$A$725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99FF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Grafiikka_Grafik!$B$725:$C$725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136-4887-B0D1-62F5E6C2487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Grafiikka_Grafik!$A$726</c15:sqref>
                        </c15:formulaRef>
                      </c:ext>
                    </c:extLst>
                    <c:strCache>
                      <c:ptCount val="1"/>
                      <c:pt idx="0">
                        <c:v>E-kurssimateriaalit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Grafiikka_Grafik!$B$726:$C$726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136-4887-B0D1-62F5E6C2487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Grafiikka_Grafik!$B$727:$C$727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136-4887-B0D1-62F5E6C2487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Grafiikka_Grafik!$B$728:$C$728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136-4887-B0D1-62F5E6C2487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Grafiikka_Grafik!$B$729:$C$729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136-4887-B0D1-62F5E6C2487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Grafiikka_Grafik!$B$730:$C$730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136-4887-B0D1-62F5E6C2487F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Grafiikka_Grafik!$B$732:$C$732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136-4887-B0D1-62F5E6C2487F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Grafiikka_Grafik!$E$723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5-41BB-A37F-4328E8D9EE64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5-41BB-A37F-4328E8D9EE64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F5-41BB-A37F-4328E8D9EE64}"/>
            </c:ext>
          </c:extLst>
        </c:ser>
        <c:ser>
          <c:idx val="9"/>
          <c:order val="9"/>
          <c:tx>
            <c:strRef>
              <c:f>Grafiikka_Grafik!$A$731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Grafiikka_Grafik!$C$731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F5-41BB-A37F-4328E8D9E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Grafiikka_Grafik!$A$725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99FF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Grafiikka_Grafik!$C$725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3F5-41BB-A37F-4328E8D9EE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Grafiikka_Grafik!$A$726</c15:sqref>
                        </c15:formulaRef>
                      </c:ext>
                    </c:extLst>
                    <c:strCache>
                      <c:ptCount val="1"/>
                      <c:pt idx="0">
                        <c:v>E-kurssimateriaalit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Grafiikka_Grafik!$C$726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F5-41BB-A37F-4328E8D9EE6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Grafiikka_Grafik!$C$727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F5-41BB-A37F-4328E8D9EE6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Grafiikka_Grafik!$C$728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F5-41BB-A37F-4328E8D9EE6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Grafiikka_Grafik!$C$729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3F5-41BB-A37F-4328E8D9EE6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3F5-41BB-A37F-4328E8D9EE6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3F5-41BB-A37F-4328E8D9EE64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Grafiikka_Grafik!$E$722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Grafiikka_Grafik!$B$722:$C$722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4B76-A3CA-0718C5CE234B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Grafiikka_Grafik!$B$723:$C$723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5-4B76-A3CA-0718C5CE234B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Grafiikka_Grafik!$B$724:$C$724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5-4B76-A3CA-0718C5CE234B}"/>
            </c:ext>
          </c:extLst>
        </c:ser>
        <c:ser>
          <c:idx val="9"/>
          <c:order val="9"/>
          <c:tx>
            <c:strRef>
              <c:f>Grafiikka_Grafik!$A$731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Grafiikka_Grafik!$B$731:$C$731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5-4B76-A3CA-0718C5CE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Grafiikka_Grafik!$A$725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99FF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Grafiikka_Grafik!$B$725:$C$725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1B5-4B76-A3CA-0718C5CE234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Grafiikka_Grafik!$A$726</c15:sqref>
                        </c15:formulaRef>
                      </c:ext>
                    </c:extLst>
                    <c:strCache>
                      <c:ptCount val="1"/>
                      <c:pt idx="0">
                        <c:v>E-kurssimateriaalit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Grafiikka_Grafik!$B$726:$C$726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1B5-4B76-A3CA-0718C5CE234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Grafiikka_Grafik!$B$727:$C$727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1B5-4B76-A3CA-0718C5CE234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Grafiikka_Grafik!$B$728:$C$728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1B5-4B76-A3CA-0718C5CE234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Grafiikka_Grafik!$B$729:$C$729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1B5-4B76-A3CA-0718C5CE234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Grafiikka_Grafik!$B$730:$C$730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1B5-4B76-A3CA-0718C5CE234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Grafiikka_Grafik!$B$732:$C$732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1B5-4B76-A3CA-0718C5CE234B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Grafiikka_Grafik!$E$723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3-4551-98D9-B02499D4F520}"/>
            </c:ext>
          </c:extLst>
        </c:ser>
        <c:ser>
          <c:idx val="1"/>
          <c:order val="1"/>
          <c:tx>
            <c:strRef>
              <c:f>Grafiikka_Grafik!$A$723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3-4551-98D9-B02499D4F520}"/>
            </c:ext>
          </c:extLst>
        </c:ser>
        <c:ser>
          <c:idx val="2"/>
          <c:order val="2"/>
          <c:tx>
            <c:strRef>
              <c:f>Grafiikka_Grafik!$A$724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3-4551-98D9-B02499D4F520}"/>
            </c:ext>
          </c:extLst>
        </c:ser>
        <c:ser>
          <c:idx val="9"/>
          <c:order val="9"/>
          <c:tx>
            <c:strRef>
              <c:f>Grafiikka_Grafik!$A$731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Grafiikka_Grafik!$C$731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3-4551-98D9-B02499D4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Grafiikka_Grafik!$A$725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99FF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Grafiikka_Grafik!$C$725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DC3-4551-98D9-B02499D4F52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Grafiikka_Grafik!$A$726</c15:sqref>
                        </c15:formulaRef>
                      </c:ext>
                    </c:extLst>
                    <c:strCache>
                      <c:ptCount val="1"/>
                      <c:pt idx="0">
                        <c:v>E-kurssimateriaalit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Grafiikka_Grafik!$C$726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DC3-4551-98D9-B02499D4F52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Grafiikka_Grafik!$C$727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DC3-4551-98D9-B02499D4F52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Grafiikka_Grafik!$C$728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DC3-4551-98D9-B02499D4F52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Grafiikka_Grafik!$C$729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DC3-4551-98D9-B02499D4F52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DC3-4551-98D9-B02499D4F52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DC3-4551-98D9-B02499D4F520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Grafiikka_Grafik!$A$725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Grafiikka_Grafik!$B$725:$C$725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4F33-466D-BBCA-D3BEF4E4E48A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  <c:extLst xmlns:c15="http://schemas.microsoft.com/office/drawing/2012/chart"/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Grafiikka_Grafik!$B$726:$C$726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4F33-466D-BBCA-D3BEF4E4E48A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Grafiikka_Grafik!$B$727:$C$727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4F33-466D-BBCA-D3BEF4E4E48A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Grafiikka_Grafik!$B$728:$C$728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4F33-466D-BBCA-D3BEF4E4E48A}"/>
            </c:ext>
          </c:extLst>
        </c:ser>
        <c:ser>
          <c:idx val="10"/>
          <c:order val="10"/>
          <c:tx>
            <c:strRef>
              <c:f>Grafiikka_Grafik!$A$732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Grafiikka_Grafik!$B$732:$C$732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A-4F33-466D-BBCA-D3BEF4E4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Grafiikka_Grafik!$A$722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Grafiikka_Grafik!$B$722:$C$722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F33-466D-BBCA-D3BEF4E4E48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FF00"/>
                  </a:solid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Grafiikka_Grafik!$B$723:$C$723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F33-466D-BBCA-D3BEF4E4E48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Grafiikka_Grafik!$B$724:$C$724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33-466D-BBCA-D3BEF4E4E48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Grafiikka_Grafik!$B$729:$C$729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F33-466D-BBCA-D3BEF4E4E48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Grafiikka_Grafik!$B$730:$C$730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F33-466D-BBCA-D3BEF4E4E48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Grafiikka_Grafik!$B$731:$C$731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33-466D-BBCA-D3BEF4E4E48A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Grafiikka_Grafik!$A$725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Grafiikka_Grafik!$B$725:$C$725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1CEF-4BC7-A711-731B15379ACF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  <c:extLst xmlns:c15="http://schemas.microsoft.com/office/drawing/2012/chart"/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Grafiikka_Grafik!$B$726:$C$726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1CEF-4BC7-A711-731B15379ACF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Grafiikka_Grafik!$B$727:$C$727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1CEF-4BC7-A711-731B15379ACF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Grafiikka_Grafik!$B$728:$C$728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1CEF-4BC7-A711-731B15379ACF}"/>
            </c:ext>
          </c:extLst>
        </c:ser>
        <c:ser>
          <c:idx val="10"/>
          <c:order val="10"/>
          <c:tx>
            <c:strRef>
              <c:f>Grafiikka_Grafik!$A$732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Grafiikka_Grafik!$B$721:$C$721</c:f>
            </c:multiLvlStrRef>
          </c:cat>
          <c:val>
            <c:numRef>
              <c:f>Grafiikka_Grafik!$B$732:$C$732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1CEF-4BC7-A711-731B15379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Grafiikka_Grafik!$A$722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Grafiikka_Grafik!$B$722:$C$722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CEF-4BC7-A711-731B15379AC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FF00"/>
                  </a:solid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Grafiikka_Grafik!$B$723:$C$723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CEF-4BC7-A711-731B15379AC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Grafiikka_Grafik!$B$724:$C$724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CEF-4BC7-A711-731B15379AC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Grafiikka_Grafik!$B$729:$C$729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CEF-4BC7-A711-731B15379AC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Grafiikka_Grafik!$B$730:$C$730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CEF-4BC7-A711-731B15379ACF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Grafiikka_Grafik!$B$721:$C$721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Grafiikka_Grafik!$B$731:$C$731</c15:sqref>
                        </c15:formulaRef>
                      </c:ext>
                    </c:extLst>
                    <c:numCache>
                      <c:formatCode>#,##0.00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CEF-4BC7-A711-731B15379ACF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Grafiikka_Grafik!$A$725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4-4931-8BC9-4412CA679BA9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4-4931-8BC9-4412CA679BA9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4-4931-8BC9-4412CA679BA9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4-4931-8BC9-4412CA679BA9}"/>
            </c:ext>
          </c:extLst>
        </c:ser>
        <c:ser>
          <c:idx val="10"/>
          <c:order val="10"/>
          <c:tx>
            <c:strRef>
              <c:f>Grafiikka_Grafik!$A$732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4-4931-8BC9-4412CA67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Grafiikka_Grafik!$A$722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Grafiikka_Grafik!$C$722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3E4-4931-8BC9-4412CA679BA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FF00"/>
                  </a:solid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Grafiikka_Grafik!$C$723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3E4-4931-8BC9-4412CA679BA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3E4-4931-8BC9-4412CA679BA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Grafiikka_Grafik!$C$729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3E4-4931-8BC9-4412CA679BA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3E4-4931-8BC9-4412CA679BA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3E4-4931-8BC9-4412CA679BA9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Grafiikka_Grafik!$E$724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Grafiikka_Grafik!$A$725</c:f>
              <c:strCache>
                <c:ptCount val="1"/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9-4A41-9899-5864E7A844C1}"/>
            </c:ext>
          </c:extLst>
        </c:ser>
        <c:ser>
          <c:idx val="4"/>
          <c:order val="4"/>
          <c:tx>
            <c:strRef>
              <c:f>Grafiikka_Grafik!$A$726</c:f>
              <c:strCache>
                <c:ptCount val="1"/>
                <c:pt idx="0">
                  <c:v>E-kurssimateriaalit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9-4A41-9899-5864E7A844C1}"/>
            </c:ext>
          </c:extLst>
        </c:ser>
        <c:ser>
          <c:idx val="5"/>
          <c:order val="5"/>
          <c:tx>
            <c:strRef>
              <c:f>Grafiikka_Grafik!$A$727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9-4A41-9899-5864E7A844C1}"/>
            </c:ext>
          </c:extLst>
        </c:ser>
        <c:ser>
          <c:idx val="6"/>
          <c:order val="6"/>
          <c:tx>
            <c:strRef>
              <c:f>Grafiikka_Grafik!$A$728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Grafiikka_Grafik!$C$728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9-4A41-9899-5864E7A844C1}"/>
            </c:ext>
          </c:extLst>
        </c:ser>
        <c:ser>
          <c:idx val="10"/>
          <c:order val="10"/>
          <c:tx>
            <c:strRef>
              <c:f>Grafiikka_Grafik!$A$732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Grafiikka_Grafik!$C$721</c:f>
            </c:multiLvlStrRef>
          </c:cat>
          <c:val>
            <c:numRef>
              <c:f>Grafiikka_Grafik!$C$732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9-4A41-9899-5864E7A8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Grafiikka_Grafik!$A$722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Grafiikka_Grafik!$C$722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6F9-4A41-9899-5864E7A844C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FF00"/>
                  </a:solidFill>
                  <a:ln>
                    <a:solidFill>
                      <a:schemeClr val="tx1"/>
                    </a:solidFill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Grafiikka_Grafik!$C$723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6F9-4A41-9899-5864E7A844C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tx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6F9-4A41-9899-5864E7A844C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Grafiikka_Grafik!$C$729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6F9-4A41-9899-5864E7A844C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6F9-4A41-9899-5864E7A844C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Grafiikka_Grafik!$A$731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Grafiikka_Grafik!$C$721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Grafiikka_Grafik!$C$731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6F9-4A41-9899-5864E7A844C1}"/>
                  </c:ext>
                </c:extLst>
              </c15:ser>
            </c15:filteredBarSeries>
          </c:ext>
        </c:extLst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Grafiikka_Grafik!$L$47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7176724868343805"/>
          <c:y val="0.18951736111111112"/>
          <c:w val="0.46399735417999582"/>
          <c:h val="0.77357638888888902"/>
        </c:manualLayout>
      </c:layout>
      <c:pieChart>
        <c:varyColors val="1"/>
        <c:ser>
          <c:idx val="0"/>
          <c:order val="0"/>
          <c:tx>
            <c:strRef>
              <c:f>Grafiikka_Grafik!$C$34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21D-470E-856D-C2752B7582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21D-470E-856D-C2752B7582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21D-470E-856D-C2752B7582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21D-470E-856D-C2752B7582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21D-470E-856D-C2752B7582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21D-470E-856D-C2752B75822F}"/>
              </c:ext>
            </c:extLst>
          </c:dPt>
          <c:dLbls>
            <c:dLbl>
              <c:idx val="0"/>
              <c:layout>
                <c:manualLayout>
                  <c:x val="3.7816634500062778E-2"/>
                  <c:y val="-1.92465277777777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58660673029072"/>
                      <c:h val="7.3407175925925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21D-470E-856D-C2752B75822F}"/>
                </c:ext>
              </c:extLst>
            </c:dLbl>
            <c:dLbl>
              <c:idx val="1"/>
              <c:layout>
                <c:manualLayout>
                  <c:x val="-0.11990593470903815"/>
                  <c:y val="-0.27218171296296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07370419243617"/>
                      <c:h val="7.73842592592592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21D-470E-856D-C2752B75822F}"/>
                </c:ext>
              </c:extLst>
            </c:dLbl>
            <c:dLbl>
              <c:idx val="2"/>
              <c:layout>
                <c:manualLayout>
                  <c:x val="-8.3543845449942852E-3"/>
                  <c:y val="3.234814814814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60780281252721"/>
                      <c:h val="7.3407175925925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21D-470E-856D-C2752B75822F}"/>
                </c:ext>
              </c:extLst>
            </c:dLbl>
            <c:dLbl>
              <c:idx val="3"/>
              <c:layout>
                <c:manualLayout>
                  <c:x val="-3.2089298613293973E-2"/>
                  <c:y val="8.351157407407411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33636674392143"/>
                      <c:h val="6.6880787037037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21D-470E-856D-C2752B75822F}"/>
                </c:ext>
              </c:extLst>
            </c:dLbl>
            <c:dLbl>
              <c:idx val="4"/>
              <c:layout>
                <c:manualLayout>
                  <c:x val="-4.5846367366500773E-2"/>
                  <c:y val="-2.87384259259259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04612190765621"/>
                      <c:h val="7.27604166666666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21D-470E-856D-C2752B75822F}"/>
                </c:ext>
              </c:extLst>
            </c:dLbl>
            <c:dLbl>
              <c:idx val="5"/>
              <c:layout>
                <c:manualLayout>
                  <c:x val="-9.0374157775732572E-2"/>
                  <c:y val="-6.15451388888888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21D-470E-856D-C2752B758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Grafiikka_Grafik!$A$35:$A$40</c:f>
            </c:strRef>
          </c:cat>
          <c:val>
            <c:numRef>
              <c:f>Grafiikka_Grafik!$C$35:$C$40</c:f>
              <c:numCache>
                <c:formatCode>#\ ##0_ ;[Red]\-#\ ##0\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D-470E-856D-C2752B758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Grafiikka_Grafik!$E$773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Grafiikka_Grafik!$A$774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Grafiikka_Grafik!$B$774:$C$774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D-4717-9E07-553C4EDE6E65}"/>
            </c:ext>
          </c:extLst>
        </c:ser>
        <c:ser>
          <c:idx val="1"/>
          <c:order val="1"/>
          <c:tx>
            <c:strRef>
              <c:f>Grafiikka_Grafik!$A$775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Grafiikka_Grafik!$B$775:$C$775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D-4717-9E07-553C4EDE6E65}"/>
            </c:ext>
          </c:extLst>
        </c:ser>
        <c:ser>
          <c:idx val="2"/>
          <c:order val="2"/>
          <c:tx>
            <c:strRef>
              <c:f>Grafiikka_Grafik!$A$776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Grafiikka_Grafik!$B$776:$C$776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9D-4717-9E07-553C4EDE6E65}"/>
            </c:ext>
          </c:extLst>
        </c:ser>
        <c:ser>
          <c:idx val="3"/>
          <c:order val="3"/>
          <c:tx>
            <c:strRef>
              <c:f>Grafiikka_Grafik!$A$777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Grafiikka_Grafik!$B$777:$C$777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9D-4717-9E07-553C4EDE6E65}"/>
            </c:ext>
          </c:extLst>
        </c:ser>
        <c:ser>
          <c:idx val="4"/>
          <c:order val="4"/>
          <c:tx>
            <c:strRef>
              <c:f>Grafiikka_Grafik!$A$778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Grafiikka_Grafik!$B$778:$C$778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9D-4717-9E07-553C4EDE6E65}"/>
            </c:ext>
          </c:extLst>
        </c:ser>
        <c:ser>
          <c:idx val="5"/>
          <c:order val="5"/>
          <c:tx>
            <c:strRef>
              <c:f>Grafiikka_Grafik!$A$779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Grafiikka_Grafik!$B$779:$C$779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9D-4717-9E07-553C4EDE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538760"/>
        <c:axId val="834537448"/>
      </c:barChart>
      <c:catAx>
        <c:axId val="83453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537448"/>
        <c:crosses val="autoZero"/>
        <c:auto val="1"/>
        <c:lblAlgn val="ctr"/>
        <c:lblOffset val="100"/>
        <c:noMultiLvlLbl val="0"/>
      </c:catAx>
      <c:valAx>
        <c:axId val="834537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53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Grafiikka_Grafik!$E$773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Grafiikka_Grafik!$A$774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Grafiikka_Grafik!$B$774:$C$774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C-4664-B121-DE864AB05A6D}"/>
            </c:ext>
          </c:extLst>
        </c:ser>
        <c:ser>
          <c:idx val="1"/>
          <c:order val="1"/>
          <c:tx>
            <c:strRef>
              <c:f>Grafiikka_Grafik!$A$775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Grafiikka_Grafik!$B$775:$C$775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C-4664-B121-DE864AB05A6D}"/>
            </c:ext>
          </c:extLst>
        </c:ser>
        <c:ser>
          <c:idx val="2"/>
          <c:order val="2"/>
          <c:tx>
            <c:strRef>
              <c:f>Grafiikka_Grafik!$A$776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Grafiikka_Grafik!$B$776:$C$776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C-4664-B121-DE864AB05A6D}"/>
            </c:ext>
          </c:extLst>
        </c:ser>
        <c:ser>
          <c:idx val="3"/>
          <c:order val="3"/>
          <c:tx>
            <c:strRef>
              <c:f>Grafiikka_Grafik!$A$777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Grafiikka_Grafik!$B$777:$C$777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C-4664-B121-DE864AB05A6D}"/>
            </c:ext>
          </c:extLst>
        </c:ser>
        <c:ser>
          <c:idx val="4"/>
          <c:order val="4"/>
          <c:tx>
            <c:strRef>
              <c:f>Grafiikka_Grafik!$A$778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Grafiikka_Grafik!$B$778:$C$778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C-4664-B121-DE864AB05A6D}"/>
            </c:ext>
          </c:extLst>
        </c:ser>
        <c:ser>
          <c:idx val="5"/>
          <c:order val="5"/>
          <c:tx>
            <c:strRef>
              <c:f>Grafiikka_Grafik!$A$779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Grafiikka_Grafik!$B$773:$C$773</c:f>
            </c:multiLvlStrRef>
          </c:cat>
          <c:val>
            <c:numRef>
              <c:f>Grafiikka_Grafik!$B$779:$C$779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C-4664-B121-DE864AB05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538760"/>
        <c:axId val="834537448"/>
      </c:barChart>
      <c:catAx>
        <c:axId val="834538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4537448"/>
        <c:crosses val="autoZero"/>
        <c:auto val="1"/>
        <c:lblAlgn val="ctr"/>
        <c:lblOffset val="100"/>
        <c:noMultiLvlLbl val="0"/>
      </c:catAx>
      <c:valAx>
        <c:axId val="834537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538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Grafiikka_Grafik!$E$774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Grafiikka_Grafik!$A$774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Grafiikka_Grafik!$C$774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0-4F81-8B55-96F1650D2BEA}"/>
            </c:ext>
          </c:extLst>
        </c:ser>
        <c:ser>
          <c:idx val="1"/>
          <c:order val="1"/>
          <c:tx>
            <c:strRef>
              <c:f>Grafiikka_Grafik!$A$775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Grafiikka_Grafik!$C$775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0-4F81-8B55-96F1650D2BEA}"/>
            </c:ext>
          </c:extLst>
        </c:ser>
        <c:ser>
          <c:idx val="2"/>
          <c:order val="2"/>
          <c:tx>
            <c:strRef>
              <c:f>Grafiikka_Grafik!$A$776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Grafiikka_Grafik!$C$776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0-4F81-8B55-96F1650D2BEA}"/>
            </c:ext>
          </c:extLst>
        </c:ser>
        <c:ser>
          <c:idx val="3"/>
          <c:order val="3"/>
          <c:tx>
            <c:strRef>
              <c:f>Grafiikka_Grafik!$A$777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60-4F81-8B55-96F1650D2BEA}"/>
            </c:ext>
          </c:extLst>
        </c:ser>
        <c:ser>
          <c:idx val="4"/>
          <c:order val="4"/>
          <c:tx>
            <c:strRef>
              <c:f>Grafiikka_Grafik!$A$778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60-4F81-8B55-96F1650D2BEA}"/>
            </c:ext>
          </c:extLst>
        </c:ser>
        <c:ser>
          <c:idx val="5"/>
          <c:order val="5"/>
          <c:tx>
            <c:strRef>
              <c:f>Grafiikka_Grafik!$A$779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60-4F81-8B55-96F1650D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538760"/>
        <c:axId val="834537448"/>
      </c:barChart>
      <c:catAx>
        <c:axId val="834538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4537448"/>
        <c:crosses val="autoZero"/>
        <c:auto val="1"/>
        <c:lblAlgn val="ctr"/>
        <c:lblOffset val="100"/>
        <c:noMultiLvlLbl val="0"/>
      </c:catAx>
      <c:valAx>
        <c:axId val="834537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53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Grafiikka_Grafik!$E$774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Grafiikka_Grafik!$A$774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Grafiikka_Grafik!$C$774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6-4815-97DE-61A290E9109D}"/>
            </c:ext>
          </c:extLst>
        </c:ser>
        <c:ser>
          <c:idx val="1"/>
          <c:order val="1"/>
          <c:tx>
            <c:strRef>
              <c:f>Grafiikka_Grafik!$A$775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Grafiikka_Grafik!$C$775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6-4815-97DE-61A290E9109D}"/>
            </c:ext>
          </c:extLst>
        </c:ser>
        <c:ser>
          <c:idx val="2"/>
          <c:order val="2"/>
          <c:tx>
            <c:strRef>
              <c:f>Grafiikka_Grafik!$A$776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Grafiikka_Grafik!$C$776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6-4815-97DE-61A290E9109D}"/>
            </c:ext>
          </c:extLst>
        </c:ser>
        <c:ser>
          <c:idx val="3"/>
          <c:order val="3"/>
          <c:tx>
            <c:strRef>
              <c:f>Grafiikka_Grafik!$A$777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6-4815-97DE-61A290E9109D}"/>
            </c:ext>
          </c:extLst>
        </c:ser>
        <c:ser>
          <c:idx val="4"/>
          <c:order val="4"/>
          <c:tx>
            <c:strRef>
              <c:f>Grafiikka_Grafik!$A$778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6-4815-97DE-61A290E9109D}"/>
            </c:ext>
          </c:extLst>
        </c:ser>
        <c:ser>
          <c:idx val="5"/>
          <c:order val="5"/>
          <c:tx>
            <c:strRef>
              <c:f>Grafiikka_Grafik!$A$779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Grafiikka_Grafik!$C$773</c:f>
            </c:multiLvlStrRef>
          </c:cat>
          <c:val>
            <c:numRef>
              <c:f>Grafiikka_Grafik!$C$779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46-4815-97DE-61A290E91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538760"/>
        <c:axId val="834537448"/>
      </c:barChart>
      <c:catAx>
        <c:axId val="834538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4537448"/>
        <c:crosses val="autoZero"/>
        <c:auto val="1"/>
        <c:lblAlgn val="ctr"/>
        <c:lblOffset val="100"/>
        <c:noMultiLvlLbl val="0"/>
      </c:catAx>
      <c:valAx>
        <c:axId val="834537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538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Grafiikka_Grafik!$E$818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Grafiikka_Grafik!$A$819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Grafiikka_Grafik!$B$819:$C$819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8-4CE7-9EF0-9D6657D6B6F9}"/>
            </c:ext>
          </c:extLst>
        </c:ser>
        <c:ser>
          <c:idx val="1"/>
          <c:order val="1"/>
          <c:tx>
            <c:strRef>
              <c:f>Grafiikka_Grafik!$A$820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Grafiikka_Grafik!$B$820:$C$820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8-4CE7-9EF0-9D6657D6B6F9}"/>
            </c:ext>
          </c:extLst>
        </c:ser>
        <c:ser>
          <c:idx val="2"/>
          <c:order val="2"/>
          <c:tx>
            <c:strRef>
              <c:f>Grafiikka_Grafik!$A$821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Grafiikka_Grafik!$B$821:$C$821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8-4CE7-9EF0-9D6657D6B6F9}"/>
            </c:ext>
          </c:extLst>
        </c:ser>
        <c:ser>
          <c:idx val="3"/>
          <c:order val="3"/>
          <c:tx>
            <c:strRef>
              <c:f>Grafiikka_Grafik!$A$822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Grafiikka_Grafik!$B$822:$C$822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8-4CE7-9EF0-9D6657D6B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424616"/>
        <c:axId val="834425600"/>
      </c:barChart>
      <c:catAx>
        <c:axId val="83442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425600"/>
        <c:crosses val="autoZero"/>
        <c:auto val="1"/>
        <c:lblAlgn val="ctr"/>
        <c:lblOffset val="100"/>
        <c:noMultiLvlLbl val="0"/>
      </c:catAx>
      <c:valAx>
        <c:axId val="83442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42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Grafiikka_Grafik!$E$818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Grafiikka_Grafik!$A$819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Grafiikka_Grafik!$B$819:$C$819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A-4242-9B01-FF4513A61A15}"/>
            </c:ext>
          </c:extLst>
        </c:ser>
        <c:ser>
          <c:idx val="1"/>
          <c:order val="1"/>
          <c:tx>
            <c:strRef>
              <c:f>Grafiikka_Grafik!$A$820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Grafiikka_Grafik!$B$820:$C$820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A-4242-9B01-FF4513A61A15}"/>
            </c:ext>
          </c:extLst>
        </c:ser>
        <c:ser>
          <c:idx val="2"/>
          <c:order val="2"/>
          <c:tx>
            <c:strRef>
              <c:f>Grafiikka_Grafik!$A$821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Grafiikka_Grafik!$B$821:$C$821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A-4242-9B01-FF4513A61A15}"/>
            </c:ext>
          </c:extLst>
        </c:ser>
        <c:ser>
          <c:idx val="3"/>
          <c:order val="3"/>
          <c:tx>
            <c:strRef>
              <c:f>Grafiikka_Grafik!$A$822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Grafiikka_Grafik!$B$818:$C$818</c:f>
            </c:multiLvlStrRef>
          </c:cat>
          <c:val>
            <c:numRef>
              <c:f>Grafiikka_Grafik!$B$822:$C$822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A-4242-9B01-FF4513A6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424616"/>
        <c:axId val="834425600"/>
      </c:barChart>
      <c:catAx>
        <c:axId val="834424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4425600"/>
        <c:crosses val="autoZero"/>
        <c:auto val="1"/>
        <c:lblAlgn val="ctr"/>
        <c:lblOffset val="100"/>
        <c:noMultiLvlLbl val="0"/>
      </c:catAx>
      <c:valAx>
        <c:axId val="83442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424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Grafiikka_Grafik!$E$819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Grafiikka_Grafik!$A$819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Grafiikka_Grafik!$C$819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8-4131-874B-828369F1C1EC}"/>
            </c:ext>
          </c:extLst>
        </c:ser>
        <c:ser>
          <c:idx val="1"/>
          <c:order val="1"/>
          <c:tx>
            <c:strRef>
              <c:f>Grafiikka_Grafik!$A$820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Grafiikka_Grafik!$C$820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8-4131-874B-828369F1C1EC}"/>
            </c:ext>
          </c:extLst>
        </c:ser>
        <c:ser>
          <c:idx val="2"/>
          <c:order val="2"/>
          <c:tx>
            <c:strRef>
              <c:f>Grafiikka_Grafik!$A$821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Grafiikka_Grafik!$C$821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8-4131-874B-828369F1C1EC}"/>
            </c:ext>
          </c:extLst>
        </c:ser>
        <c:ser>
          <c:idx val="3"/>
          <c:order val="3"/>
          <c:tx>
            <c:strRef>
              <c:f>Grafiikka_Grafik!$A$822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Grafiikka_Grafik!$C$822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8-4131-874B-828369F1C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424616"/>
        <c:axId val="834425600"/>
      </c:barChart>
      <c:catAx>
        <c:axId val="83442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425600"/>
        <c:crosses val="autoZero"/>
        <c:auto val="1"/>
        <c:lblAlgn val="ctr"/>
        <c:lblOffset val="100"/>
        <c:noMultiLvlLbl val="0"/>
      </c:catAx>
      <c:valAx>
        <c:axId val="83442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42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Grafiikka_Grafik!$E$819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Grafiikka_Grafik!$A$819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Grafiikka_Grafik!$C$819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E-449C-A37C-EC8AC124B009}"/>
            </c:ext>
          </c:extLst>
        </c:ser>
        <c:ser>
          <c:idx val="1"/>
          <c:order val="1"/>
          <c:tx>
            <c:strRef>
              <c:f>Grafiikka_Grafik!$A$820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Grafiikka_Grafik!$C$820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E-449C-A37C-EC8AC124B009}"/>
            </c:ext>
          </c:extLst>
        </c:ser>
        <c:ser>
          <c:idx val="2"/>
          <c:order val="2"/>
          <c:tx>
            <c:strRef>
              <c:f>Grafiikka_Grafik!$A$821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Grafiikka_Grafik!$C$821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1E-449C-A37C-EC8AC124B009}"/>
            </c:ext>
          </c:extLst>
        </c:ser>
        <c:ser>
          <c:idx val="3"/>
          <c:order val="3"/>
          <c:tx>
            <c:strRef>
              <c:f>Grafiikka_Grafik!$A$822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Grafiikka_Grafik!$C$818</c:f>
            </c:multiLvlStrRef>
          </c:cat>
          <c:val>
            <c:numRef>
              <c:f>Grafiikka_Grafik!$C$822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E-449C-A37C-EC8AC124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424616"/>
        <c:axId val="834425600"/>
      </c:barChart>
      <c:catAx>
        <c:axId val="834424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4425600"/>
        <c:crosses val="autoZero"/>
        <c:auto val="1"/>
        <c:lblAlgn val="ctr"/>
        <c:lblOffset val="100"/>
        <c:noMultiLvlLbl val="0"/>
      </c:catAx>
      <c:valAx>
        <c:axId val="83442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4424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Grafiikka_Grafik!$E$867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Grafiikka_Grafik!$A$868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Grafiikka_Grafik!$B$868:$C$868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C-493F-B520-BE60FD431123}"/>
            </c:ext>
          </c:extLst>
        </c:ser>
        <c:ser>
          <c:idx val="1"/>
          <c:order val="1"/>
          <c:tx>
            <c:strRef>
              <c:f>Grafiikka_Grafik!$A$869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Grafiikka_Grafik!$B$869:$C$869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C-493F-B520-BE60FD431123}"/>
            </c:ext>
          </c:extLst>
        </c:ser>
        <c:ser>
          <c:idx val="2"/>
          <c:order val="2"/>
          <c:tx>
            <c:strRef>
              <c:f>Grafiikka_Grafik!$A$870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Grafiikka_Grafik!$B$870:$C$870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C-493F-B520-BE60FD431123}"/>
            </c:ext>
          </c:extLst>
        </c:ser>
        <c:ser>
          <c:idx val="3"/>
          <c:order val="3"/>
          <c:tx>
            <c:strRef>
              <c:f>Grafiikka_Grafik!$A$871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Grafiikka_Grafik!$B$871:$C$871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C-493F-B520-BE60FD431123}"/>
            </c:ext>
          </c:extLst>
        </c:ser>
        <c:ser>
          <c:idx val="4"/>
          <c:order val="4"/>
          <c:tx>
            <c:strRef>
              <c:f>Grafiikka_Grafik!$A$872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Grafiikka_Grafik!$B$872:$C$872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C-493F-B520-BE60FD43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203976"/>
        <c:axId val="911212832"/>
      </c:barChart>
      <c:catAx>
        <c:axId val="91120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212832"/>
        <c:crosses val="autoZero"/>
        <c:auto val="1"/>
        <c:lblAlgn val="ctr"/>
        <c:lblOffset val="100"/>
        <c:noMultiLvlLbl val="0"/>
      </c:catAx>
      <c:valAx>
        <c:axId val="911212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20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Grafiikka_Grafik!$E$867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Grafiikka_Grafik!$A$868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Grafiikka_Grafik!$B$868:$C$868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2-46FF-B2FD-B8F97D1E5428}"/>
            </c:ext>
          </c:extLst>
        </c:ser>
        <c:ser>
          <c:idx val="1"/>
          <c:order val="1"/>
          <c:tx>
            <c:strRef>
              <c:f>Grafiikka_Grafik!$A$869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Grafiikka_Grafik!$B$869:$C$869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6FF-B2FD-B8F97D1E5428}"/>
            </c:ext>
          </c:extLst>
        </c:ser>
        <c:ser>
          <c:idx val="2"/>
          <c:order val="2"/>
          <c:tx>
            <c:strRef>
              <c:f>Grafiikka_Grafik!$A$870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Grafiikka_Grafik!$B$870:$C$870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2-46FF-B2FD-B8F97D1E5428}"/>
            </c:ext>
          </c:extLst>
        </c:ser>
        <c:ser>
          <c:idx val="3"/>
          <c:order val="3"/>
          <c:tx>
            <c:strRef>
              <c:f>Grafiikka_Grafik!$A$871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Grafiikka_Grafik!$B$871:$C$871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2-46FF-B2FD-B8F97D1E5428}"/>
            </c:ext>
          </c:extLst>
        </c:ser>
        <c:ser>
          <c:idx val="4"/>
          <c:order val="4"/>
          <c:tx>
            <c:strRef>
              <c:f>Grafiikka_Grafik!$A$872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Grafiikka_Grafik!$B$867:$C$867</c:f>
            </c:multiLvlStrRef>
          </c:cat>
          <c:val>
            <c:numRef>
              <c:f>Grafiikka_Grafik!$B$872:$C$872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6FF-B2FD-B8F97D1E5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203976"/>
        <c:axId val="911212832"/>
      </c:barChart>
      <c:catAx>
        <c:axId val="911203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212832"/>
        <c:crosses val="autoZero"/>
        <c:auto val="1"/>
        <c:lblAlgn val="ctr"/>
        <c:lblOffset val="100"/>
        <c:noMultiLvlLbl val="0"/>
      </c:catAx>
      <c:valAx>
        <c:axId val="911212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203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Asetukset!$F$369</c:f>
          <c:strCache>
            <c:ptCount val="1"/>
            <c:pt idx="0">
              <c:v> / 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1.1008368707531623E-2"/>
          <c:y val="7.8760925925925929E-2"/>
          <c:w val="0.98340342377071421"/>
          <c:h val="0.89557129629629628"/>
        </c:manualLayout>
      </c:layout>
      <c:ofPieChart>
        <c:ofPieType val="pie"/>
        <c:varyColors val="1"/>
        <c:ser>
          <c:idx val="0"/>
          <c:order val="0"/>
          <c:tx>
            <c:strRef>
              <c:f>Grafiikka_Grafik!$C$34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8-42B8-9656-C28961FBAA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AF-4D9B-B53F-031B0F1500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AF-4D9B-B53F-031B0F1500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AF-4D9B-B53F-031B0F1500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AF-4D9B-B53F-031B0F1500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1AF-4D9B-B53F-031B0F1500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1AF-4D9B-B53F-031B0F150010}"/>
              </c:ext>
            </c:extLst>
          </c:dPt>
          <c:dLbls>
            <c:dLbl>
              <c:idx val="0"/>
              <c:layout>
                <c:manualLayout>
                  <c:x val="1.3223227237394448E-2"/>
                  <c:y val="3.447520308662581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85307325980852"/>
                      <c:h val="6.43346335918672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A8-42B8-9656-C28961FBAAF9}"/>
                </c:ext>
              </c:extLst>
            </c:dLbl>
            <c:dLbl>
              <c:idx val="2"/>
              <c:layout>
                <c:manualLayout>
                  <c:x val="-0.12051448302899631"/>
                  <c:y val="-0.153466934476076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68349788977102"/>
                      <c:h val="0.107431542484387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AF-4D9B-B53F-031B0F150010}"/>
                </c:ext>
              </c:extLst>
            </c:dLbl>
            <c:dLbl>
              <c:idx val="3"/>
              <c:layout>
                <c:manualLayout>
                  <c:x val="-4.8089614928056711E-2"/>
                  <c:y val="-2.209866112159525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AF-4D9B-B53F-031B0F150010}"/>
                </c:ext>
              </c:extLst>
            </c:dLbl>
            <c:dLbl>
              <c:idx val="4"/>
              <c:layout>
                <c:manualLayout>
                  <c:x val="3.4307222510218366E-2"/>
                  <c:y val="-3.66413192143133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290957862494"/>
                      <c:h val="7.11615811548521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AF-4D9B-B53F-031B0F150010}"/>
                </c:ext>
              </c:extLst>
            </c:dLbl>
            <c:dLbl>
              <c:idx val="5"/>
              <c:layout>
                <c:manualLayout>
                  <c:x val="-1.8553064576594527E-2"/>
                  <c:y val="-0.140252361461753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AF-4D9B-B53F-031B0F150010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multiLvlStrRef>
              <c:f>Grafiikka_Grafik!$A$35:$A$40</c:f>
            </c:multiLvlStrRef>
          </c:cat>
          <c:val>
            <c:numRef>
              <c:f>Grafiikka_Grafik!$C$35:$C$40</c:f>
              <c:numCache>
                <c:formatCode>#\ ##0_ ;[Red]\-#\ ##0\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8-42B8-9656-C28961FBA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Grafiikka_Grafik!$E$913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Grafiikka_Grafik!$A$914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Grafiikka_Grafik!$B$914:$C$914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D-42C2-829C-793DD652F9CD}"/>
            </c:ext>
          </c:extLst>
        </c:ser>
        <c:ser>
          <c:idx val="1"/>
          <c:order val="1"/>
          <c:tx>
            <c:strRef>
              <c:f>Grafiikka_Grafik!$A$915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Grafiikka_Grafik!$B$915:$C$915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D-42C2-829C-793DD652F9CD}"/>
            </c:ext>
          </c:extLst>
        </c:ser>
        <c:ser>
          <c:idx val="2"/>
          <c:order val="2"/>
          <c:tx>
            <c:strRef>
              <c:f>Grafiikka_Grafik!$A$916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Grafiikka_Grafik!$B$916:$C$916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D-42C2-829C-793DD652F9CD}"/>
            </c:ext>
          </c:extLst>
        </c:ser>
        <c:ser>
          <c:idx val="3"/>
          <c:order val="3"/>
          <c:tx>
            <c:strRef>
              <c:f>Grafiikka_Grafik!$A$917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Grafiikka_Grafik!$B$917:$C$917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D-42C2-829C-793DD652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367320"/>
        <c:axId val="911366992"/>
      </c:barChart>
      <c:catAx>
        <c:axId val="91136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366992"/>
        <c:crosses val="autoZero"/>
        <c:auto val="1"/>
        <c:lblAlgn val="ctr"/>
        <c:lblOffset val="100"/>
        <c:noMultiLvlLbl val="0"/>
      </c:catAx>
      <c:valAx>
        <c:axId val="911366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36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Grafiikka_Grafik!$E$913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Grafiikka_Grafik!$A$914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Grafiikka_Grafik!$B$914:$C$914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B-42C7-BA35-CB5D54CAC45D}"/>
            </c:ext>
          </c:extLst>
        </c:ser>
        <c:ser>
          <c:idx val="1"/>
          <c:order val="1"/>
          <c:tx>
            <c:strRef>
              <c:f>Grafiikka_Grafik!$A$915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Grafiikka_Grafik!$B$915:$C$915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B-42C7-BA35-CB5D54CAC45D}"/>
            </c:ext>
          </c:extLst>
        </c:ser>
        <c:ser>
          <c:idx val="2"/>
          <c:order val="2"/>
          <c:tx>
            <c:strRef>
              <c:f>Grafiikka_Grafik!$A$916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Grafiikka_Grafik!$B$916:$C$916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B-42C7-BA35-CB5D54CAC45D}"/>
            </c:ext>
          </c:extLst>
        </c:ser>
        <c:ser>
          <c:idx val="3"/>
          <c:order val="3"/>
          <c:tx>
            <c:strRef>
              <c:f>Grafiikka_Grafik!$A$917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Grafiikka_Grafik!$B$913:$C$913</c:f>
            </c:multiLvlStrRef>
          </c:cat>
          <c:val>
            <c:numRef>
              <c:f>Grafiikka_Grafik!$B$917:$C$917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B-42C7-BA35-CB5D54CAC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367320"/>
        <c:axId val="911366992"/>
      </c:barChart>
      <c:catAx>
        <c:axId val="911367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366992"/>
        <c:crosses val="autoZero"/>
        <c:auto val="1"/>
        <c:lblAlgn val="ctr"/>
        <c:lblOffset val="100"/>
        <c:noMultiLvlLbl val="0"/>
      </c:catAx>
      <c:valAx>
        <c:axId val="911366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367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Grafiikka_Grafik!$E$914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Grafiikka_Grafik!$A$914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Grafiikka_Grafik!$C$914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B-4EB1-B42A-183BEA9350EF}"/>
            </c:ext>
          </c:extLst>
        </c:ser>
        <c:ser>
          <c:idx val="1"/>
          <c:order val="1"/>
          <c:tx>
            <c:strRef>
              <c:f>Grafiikka_Grafik!$A$915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Grafiikka_Grafik!$C$915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B-4EB1-B42A-183BEA9350EF}"/>
            </c:ext>
          </c:extLst>
        </c:ser>
        <c:ser>
          <c:idx val="2"/>
          <c:order val="2"/>
          <c:tx>
            <c:strRef>
              <c:f>Grafiikka_Grafik!$A$916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Grafiikka_Grafik!$C$916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B-4EB1-B42A-183BEA9350EF}"/>
            </c:ext>
          </c:extLst>
        </c:ser>
        <c:ser>
          <c:idx val="3"/>
          <c:order val="3"/>
          <c:tx>
            <c:strRef>
              <c:f>Grafiikka_Grafik!$A$917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B-4EB1-B42A-183BEA93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367320"/>
        <c:axId val="911366992"/>
      </c:barChart>
      <c:catAx>
        <c:axId val="91136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366992"/>
        <c:crosses val="autoZero"/>
        <c:auto val="1"/>
        <c:lblAlgn val="ctr"/>
        <c:lblOffset val="100"/>
        <c:noMultiLvlLbl val="0"/>
      </c:catAx>
      <c:valAx>
        <c:axId val="911366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36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Grafiikka_Grafik!$E$914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Grafiikka_Grafik!$A$914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Grafiikka_Grafik!$C$914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8-4A32-8A2A-4D41400A4EAE}"/>
            </c:ext>
          </c:extLst>
        </c:ser>
        <c:ser>
          <c:idx val="1"/>
          <c:order val="1"/>
          <c:tx>
            <c:strRef>
              <c:f>Grafiikka_Grafik!$A$915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Grafiikka_Grafik!$C$915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8-4A32-8A2A-4D41400A4EAE}"/>
            </c:ext>
          </c:extLst>
        </c:ser>
        <c:ser>
          <c:idx val="2"/>
          <c:order val="2"/>
          <c:tx>
            <c:strRef>
              <c:f>Grafiikka_Grafik!$A$916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Grafiikka_Grafik!$C$916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8-4A32-8A2A-4D41400A4EAE}"/>
            </c:ext>
          </c:extLst>
        </c:ser>
        <c:ser>
          <c:idx val="3"/>
          <c:order val="3"/>
          <c:tx>
            <c:strRef>
              <c:f>Grafiikka_Grafik!$A$917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Grafiikka_Grafik!$C$913</c:f>
            </c:strRef>
          </c:cat>
          <c:val>
            <c:numRef>
              <c:f>Grafiikka_Grafik!$C$917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28-4A32-8A2A-4D41400A4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367320"/>
        <c:axId val="911366992"/>
      </c:barChart>
      <c:catAx>
        <c:axId val="911367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366992"/>
        <c:crosses val="autoZero"/>
        <c:auto val="1"/>
        <c:lblAlgn val="ctr"/>
        <c:lblOffset val="100"/>
        <c:noMultiLvlLbl val="0"/>
      </c:catAx>
      <c:valAx>
        <c:axId val="911366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367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Grafiikka_Grafik!$E$630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Grafiikka_Grafik!$A$630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2-408A-BC3A-9D4970BEE69E}"/>
            </c:ext>
          </c:extLst>
        </c:ser>
        <c:ser>
          <c:idx val="1"/>
          <c:order val="1"/>
          <c:tx>
            <c:strRef>
              <c:f>Grafiikka_Grafik!$A$631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2-408A-BC3A-9D4970BEE69E}"/>
            </c:ext>
          </c:extLst>
        </c:ser>
        <c:ser>
          <c:idx val="2"/>
          <c:order val="2"/>
          <c:tx>
            <c:strRef>
              <c:f>Grafiikka_Grafik!$A$632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2-408A-BC3A-9D4970BEE69E}"/>
            </c:ext>
          </c:extLst>
        </c:ser>
        <c:ser>
          <c:idx val="3"/>
          <c:order val="3"/>
          <c:tx>
            <c:strRef>
              <c:f>Grafiikka_Grafik!$A$633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2-408A-BC3A-9D4970BEE69E}"/>
            </c:ext>
          </c:extLst>
        </c:ser>
        <c:ser>
          <c:idx val="4"/>
          <c:order val="4"/>
          <c:tx>
            <c:strRef>
              <c:f>Grafiikka_Grafik!$A$634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2-408A-BC3A-9D4970BEE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Grafiikka_Grafik!$E$630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Grafiikka_Grafik!$A$630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D-4CDE-983C-F69180A802A1}"/>
            </c:ext>
          </c:extLst>
        </c:ser>
        <c:ser>
          <c:idx val="1"/>
          <c:order val="1"/>
          <c:tx>
            <c:strRef>
              <c:f>Grafiikka_Grafik!$A$631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D-4CDE-983C-F69180A802A1}"/>
            </c:ext>
          </c:extLst>
        </c:ser>
        <c:ser>
          <c:idx val="2"/>
          <c:order val="2"/>
          <c:tx>
            <c:strRef>
              <c:f>Grafiikka_Grafik!$A$632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D-4CDE-983C-F69180A802A1}"/>
            </c:ext>
          </c:extLst>
        </c:ser>
        <c:ser>
          <c:idx val="3"/>
          <c:order val="3"/>
          <c:tx>
            <c:strRef>
              <c:f>Grafiikka_Grafik!$A$633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D-4CDE-983C-F69180A802A1}"/>
            </c:ext>
          </c:extLst>
        </c:ser>
        <c:ser>
          <c:idx val="4"/>
          <c:order val="4"/>
          <c:tx>
            <c:strRef>
              <c:f>Grafiikka_Grafik!$A$634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Grafiikka_Grafik!$C$629</c:f>
            </c:multiLvlStrRef>
          </c:cat>
          <c:val>
            <c:numRef>
              <c:f>Grafiikka_Grafik!$C$634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2D-4CDE-983C-F69180A8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264760"/>
        <c:axId val="604259512"/>
      </c:barChart>
      <c:catAx>
        <c:axId val="604264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259512"/>
        <c:crosses val="autoZero"/>
        <c:auto val="1"/>
        <c:lblAlgn val="ctr"/>
        <c:lblOffset val="100"/>
        <c:noMultiLvlLbl val="0"/>
      </c:catAx>
      <c:valAx>
        <c:axId val="604259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264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Grafiikka_Grafik!$E$630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Grafiikka_Grafik!$C$629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B7-4F5B-BA65-32352B1A8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B7-4F5B-BA65-32352B1A8E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B7-4F5B-BA65-32352B1A8E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B7-4F5B-BA65-32352B1A8EA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Grafiikka_Grafik!$A$630:$A$633</c:f>
            </c:multiLvlStrRef>
          </c:cat>
          <c:val>
            <c:numRef>
              <c:f>Grafiikka_Grafik!$C$630:$C$633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6-45A1-ADDC-1F1B4C419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Grafiikka_Grafik!$E$630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Grafiikka_Grafik!$C$629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88-469E-B60F-BF54CF579C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88-469E-B60F-BF54CF579C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88-469E-B60F-BF54CF579C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88-469E-B60F-BF54CF579C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88-469E-B60F-BF54CF579C6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Grafiikka_Grafik!$A$630:$A$633</c:f>
            </c:multiLvlStrRef>
          </c:cat>
          <c:val>
            <c:numRef>
              <c:f>Grafiikka_Grafik!$C$630:$C$633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5-4412-9D22-1D085343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19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Grafiikka_Grafik!$E$630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Grafiikka_Grafik!$C$629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79-4BA5-9B46-A672C00F33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79-4BA5-9B46-A672C00F33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79-4BA5-9B46-A672C00F33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79-4BA5-9B46-A672C00F33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79-4BA5-9B46-A672C00F33B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Grafiikka_Grafik!$A$630:$A$633</c:f>
            </c:multiLvlStrRef>
          </c:cat>
          <c:val>
            <c:numRef>
              <c:f>Grafiikka_Grafik!$C$630:$C$633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79-4BA5-9B46-A672C00F3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19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Grafiikka_Grafik!$E$868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Grafiikka_Grafik!$A$868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Grafiikka_Grafik!$C$868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4-43AE-958F-F18A22832FAC}"/>
            </c:ext>
          </c:extLst>
        </c:ser>
        <c:ser>
          <c:idx val="1"/>
          <c:order val="1"/>
          <c:tx>
            <c:strRef>
              <c:f>Grafiikka_Grafik!$A$869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Grafiikka_Grafik!$C$869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4-43AE-958F-F18A22832FAC}"/>
            </c:ext>
          </c:extLst>
        </c:ser>
        <c:ser>
          <c:idx val="2"/>
          <c:order val="2"/>
          <c:tx>
            <c:strRef>
              <c:f>Grafiikka_Grafik!$A$870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Grafiikka_Grafik!$C$870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4-43AE-958F-F18A22832FAC}"/>
            </c:ext>
          </c:extLst>
        </c:ser>
        <c:ser>
          <c:idx val="3"/>
          <c:order val="3"/>
          <c:tx>
            <c:strRef>
              <c:f>Grafiikka_Grafik!$A$871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Grafiikka_Grafik!$C$871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4-43AE-958F-F18A22832FAC}"/>
            </c:ext>
          </c:extLst>
        </c:ser>
        <c:ser>
          <c:idx val="4"/>
          <c:order val="4"/>
          <c:tx>
            <c:strRef>
              <c:f>Grafiikka_Grafik!$A$872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Grafiikka_Grafik!$C$872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4-43AE-958F-F18A22832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203976"/>
        <c:axId val="911212832"/>
      </c:barChart>
      <c:catAx>
        <c:axId val="91120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212832"/>
        <c:crosses val="autoZero"/>
        <c:auto val="1"/>
        <c:lblAlgn val="ctr"/>
        <c:lblOffset val="100"/>
        <c:noMultiLvlLbl val="0"/>
      </c:catAx>
      <c:valAx>
        <c:axId val="911212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20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Grafiikka_Grafik!$E$68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12628072653709"/>
          <c:y val="0.17488521579430674"/>
          <c:w val="0.84141967719151389"/>
          <c:h val="0.61816627260435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Grafiikka_Grafik!$A$70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Grafiikka_Grafik!$B$70:$C$70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F-4DED-9CF0-DA1FD75583FB}"/>
            </c:ext>
          </c:extLst>
        </c:ser>
        <c:ser>
          <c:idx val="1"/>
          <c:order val="1"/>
          <c:tx>
            <c:strRef>
              <c:f>Grafiikka_Grafik!$A$71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Grafiikka_Grafik!$B$71:$C$71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F-4DED-9CF0-DA1FD75583FB}"/>
            </c:ext>
          </c:extLst>
        </c:ser>
        <c:ser>
          <c:idx val="2"/>
          <c:order val="2"/>
          <c:tx>
            <c:strRef>
              <c:f>Grafiikka_Grafik!$A$72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Grafiikka_Grafik!$B$72:$C$72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F-4DED-9CF0-DA1FD75583FB}"/>
            </c:ext>
          </c:extLst>
        </c:ser>
        <c:ser>
          <c:idx val="3"/>
          <c:order val="3"/>
          <c:tx>
            <c:strRef>
              <c:f>Grafiikka_Grafik!$A$73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Grafiikka_Grafik!$B$73:$C$73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F-4DED-9CF0-DA1FD75583FB}"/>
            </c:ext>
          </c:extLst>
        </c:ser>
        <c:ser>
          <c:idx val="4"/>
          <c:order val="4"/>
          <c:tx>
            <c:strRef>
              <c:f>Grafiikka_Grafik!$A$74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Grafiikka_Grafik!$B$69:$C$69</c:f>
            </c:multiLvlStrRef>
          </c:cat>
          <c:val>
            <c:numRef>
              <c:f>Grafiikka_Grafik!$B$74:$C$74</c:f>
              <c:numCache>
                <c:formatCode>#\ ##0_ ;[Red]\-#\ 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F-4DED-9CF0-DA1FD7558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624328"/>
        <c:axId val="666622688"/>
      </c:barChart>
      <c:catAx>
        <c:axId val="66662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2688"/>
        <c:crosses val="autoZero"/>
        <c:auto val="1"/>
        <c:lblAlgn val="ctr"/>
        <c:lblOffset val="100"/>
        <c:noMultiLvlLbl val="0"/>
      </c:catAx>
      <c:valAx>
        <c:axId val="666622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62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Grafiikka_Grafik!$E$868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Grafiikka_Grafik!$A$868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Grafiikka_Grafik!$C$868</c:f>
              <c:numCache>
                <c:formatCode>#\ ##0_ ;[Red]\-#\ 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8-4BAE-ACBF-C8566A19D850}"/>
            </c:ext>
          </c:extLst>
        </c:ser>
        <c:ser>
          <c:idx val="1"/>
          <c:order val="1"/>
          <c:tx>
            <c:strRef>
              <c:f>Grafiikka_Grafik!$A$869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Grafiikka_Grafik!$C$869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8-4BAE-ACBF-C8566A19D850}"/>
            </c:ext>
          </c:extLst>
        </c:ser>
        <c:ser>
          <c:idx val="2"/>
          <c:order val="2"/>
          <c:tx>
            <c:strRef>
              <c:f>Grafiikka_Grafik!$A$870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Grafiikka_Grafik!$C$870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8-4BAE-ACBF-C8566A19D850}"/>
            </c:ext>
          </c:extLst>
        </c:ser>
        <c:ser>
          <c:idx val="3"/>
          <c:order val="3"/>
          <c:tx>
            <c:strRef>
              <c:f>Grafiikka_Grafik!$A$871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Grafiikka_Grafik!$C$871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8-4BAE-ACBF-C8566A19D850}"/>
            </c:ext>
          </c:extLst>
        </c:ser>
        <c:ser>
          <c:idx val="4"/>
          <c:order val="4"/>
          <c:tx>
            <c:strRef>
              <c:f>Grafiikka_Grafik!$A$872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Grafiikka_Grafik!$C$867</c:f>
            </c:multiLvlStrRef>
          </c:cat>
          <c:val>
            <c:numRef>
              <c:f>Grafiikka_Grafik!$C$872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8-4BAE-ACBF-C8566A19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203976"/>
        <c:axId val="911212832"/>
      </c:barChart>
      <c:catAx>
        <c:axId val="911203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212832"/>
        <c:crosses val="autoZero"/>
        <c:auto val="1"/>
        <c:lblAlgn val="ctr"/>
        <c:lblOffset val="100"/>
        <c:noMultiLvlLbl val="0"/>
      </c:catAx>
      <c:valAx>
        <c:axId val="911212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1203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Grafiikka_Grafik!$E$952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Grafiikka_Grafik!$A$955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Grafiikka_Grafik!$B$952:$C$952</c:f>
            </c:strRef>
          </c:cat>
          <c:val>
            <c:numRef>
              <c:f>Grafiikka_Grafik!$B$955:$C$955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0-4B1B-B50E-8C68E71A6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9286456"/>
        <c:axId val="889286784"/>
        <c:extLst>
          <c:ext xmlns:c15="http://schemas.microsoft.com/office/drawing/2012/chart" uri="{02D57815-91ED-43cb-92C2-25804820EDAC}">
            <c15:filteredBa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Grafiikka_Grafik!$A$957</c15:sqref>
                        </c15:formulaRef>
                      </c:ext>
                    </c:extLst>
                    <c:strCache>
                      <c:ptCount val="1"/>
                      <c:pt idx="0">
                        <c:v>Valitse kieli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Grafiikka_Grafik!$B$952:$C$952</c15:sqref>
                        </c15:formulaRef>
                      </c:ext>
                    </c:extLst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Grafiikka_Grafik!$B$957:$C$957</c15:sqref>
                        </c15:formulaRef>
                      </c:ext>
                    </c:extLst>
                    <c:numCache>
                      <c:formatCode>#\ ##0.00_ ;[Red]\-#\ ##0.00\ 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AF0-4B1B-B50E-8C68E71A6B32}"/>
                  </c:ext>
                </c:extLst>
              </c15:ser>
            </c15:filteredBarSeries>
            <c15:filteredBa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Grafiikka_Grafik!$A$958</c15:sqref>
                        </c15:formulaRef>
                      </c:ext>
                    </c:extLst>
                    <c:strCache>
                      <c:ptCount val="1"/>
                      <c:pt idx="0">
                        <c:v>Valitse kieli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Grafiikka_Grafik!$B$952:$C$952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Grafiikka_Grafik!$B$958:$C$958</c15:sqref>
                        </c15:formulaRef>
                      </c:ext>
                    </c:extLst>
                    <c:numCache>
                      <c:formatCode>#\ ##0.00_ ;[Red]\-#\ ##0.00\ 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F0-4B1B-B50E-8C68E71A6B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1"/>
          <c:tx>
            <c:strRef>
              <c:f>Grafiikka_Grafik!$A$956</c:f>
              <c:strCache>
                <c:ptCount val="1"/>
                <c:pt idx="0">
                  <c:v>Valitse kieli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numFmt formatCode="#,##0\ &quot;€&quot;" sourceLinked="0"/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Grafiikka_Grafik!$B$952:$C$952</c:f>
            </c:strRef>
          </c:cat>
          <c:val>
            <c:numRef>
              <c:f>Grafiikka_Grafik!$B$956:$C$956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F0-4B1B-B50E-8C68E71A6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142160"/>
        <c:axId val="754141176"/>
      </c:lineChart>
      <c:catAx>
        <c:axId val="88928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9286784"/>
        <c:crosses val="autoZero"/>
        <c:auto val="1"/>
        <c:lblAlgn val="ctr"/>
        <c:lblOffset val="100"/>
        <c:noMultiLvlLbl val="0"/>
      </c:catAx>
      <c:valAx>
        <c:axId val="88928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9286456"/>
        <c:crosses val="autoZero"/>
        <c:crossBetween val="between"/>
      </c:valAx>
      <c:valAx>
        <c:axId val="754141176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142160"/>
        <c:crosses val="max"/>
        <c:crossBetween val="between"/>
      </c:valAx>
      <c:catAx>
        <c:axId val="75414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4141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Grafiikka_Grafik!$E$952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Grafiikka_Grafik!$A$953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Grafiikka_Grafik!$B$952:$C$952</c:f>
            </c:strRef>
          </c:cat>
          <c:val>
            <c:numRef>
              <c:f>Grafiikka_Grafik!$B$953:$C$953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0-4EF8-B1C9-72A4559F1CCD}"/>
            </c:ext>
          </c:extLst>
        </c:ser>
        <c:ser>
          <c:idx val="1"/>
          <c:order val="1"/>
          <c:tx>
            <c:strRef>
              <c:f>Grafiikka_Grafik!$A$954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Grafiikka_Grafik!$B$952:$C$952</c:f>
            </c:strRef>
          </c:cat>
          <c:val>
            <c:numRef>
              <c:f>Grafiikka_Grafik!$B$954:$C$954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0-4EF8-B1C9-72A4559F1CCD}"/>
            </c:ext>
          </c:extLst>
        </c:ser>
        <c:ser>
          <c:idx val="4"/>
          <c:order val="2"/>
          <c:tx>
            <c:strRef>
              <c:f>Grafiikka_Grafik!$A$957</c:f>
              <c:strCache>
                <c:ptCount val="1"/>
                <c:pt idx="0">
                  <c:v>Valitse kieli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Grafiikka_Grafik!$B$952:$C$952</c:f>
            </c:strRef>
          </c:cat>
          <c:val>
            <c:numRef>
              <c:f>Grafiikka_Grafik!$B$957:$C$957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0-4EF8-B1C9-72A4559F1CCD}"/>
            </c:ext>
          </c:extLst>
        </c:ser>
        <c:ser>
          <c:idx val="5"/>
          <c:order val="3"/>
          <c:tx>
            <c:strRef>
              <c:f>Grafiikka_Grafik!$A$958</c:f>
              <c:strCache>
                <c:ptCount val="1"/>
                <c:pt idx="0">
                  <c:v>Valitse kieli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Grafiikka_Grafik!$B$952:$C$952</c:f>
            </c:strRef>
          </c:cat>
          <c:val>
            <c:numRef>
              <c:f>Grafiikka_Grafik!$B$958:$C$958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90-4EF8-B1C9-72A4559F1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86456"/>
        <c:axId val="889286784"/>
      </c:barChart>
      <c:catAx>
        <c:axId val="889286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9286784"/>
        <c:crosses val="autoZero"/>
        <c:auto val="1"/>
        <c:lblAlgn val="ctr"/>
        <c:lblOffset val="100"/>
        <c:noMultiLvlLbl val="0"/>
      </c:catAx>
      <c:valAx>
        <c:axId val="88928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9286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Grafiikka_Grafik!$E$953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Grafiikka_Grafik!$A$953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Grafiikka_Grafik!$C$952</c:f>
            </c:strRef>
          </c:cat>
          <c:val>
            <c:numRef>
              <c:f>Grafiikka_Grafik!$C$953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8-4252-93E8-4C6454A6AD20}"/>
            </c:ext>
          </c:extLst>
        </c:ser>
        <c:ser>
          <c:idx val="1"/>
          <c:order val="1"/>
          <c:tx>
            <c:strRef>
              <c:f>Grafiikka_Grafik!$A$954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Grafiikka_Grafik!$C$952</c:f>
            </c:strRef>
          </c:cat>
          <c:val>
            <c:numRef>
              <c:f>Grafiikka_Grafik!$C$954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8-4252-93E8-4C6454A6AD20}"/>
            </c:ext>
          </c:extLst>
        </c:ser>
        <c:ser>
          <c:idx val="4"/>
          <c:order val="2"/>
          <c:tx>
            <c:strRef>
              <c:f>Grafiikka_Grafik!$A$957</c:f>
              <c:strCache>
                <c:ptCount val="1"/>
                <c:pt idx="0">
                  <c:v>Valitse kieli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Grafiikka_Grafik!$C$952</c:f>
            </c:strRef>
          </c:cat>
          <c:val>
            <c:numRef>
              <c:f>Grafiikka_Grafik!$C$957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8-4252-93E8-4C6454A6AD20}"/>
            </c:ext>
          </c:extLst>
        </c:ser>
        <c:ser>
          <c:idx val="5"/>
          <c:order val="3"/>
          <c:tx>
            <c:strRef>
              <c:f>Grafiikka_Grafik!$A$958</c:f>
              <c:strCache>
                <c:ptCount val="1"/>
                <c:pt idx="0">
                  <c:v>Valitse kieli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Grafiikka_Grafik!$C$952</c:f>
            </c:strRef>
          </c:cat>
          <c:val>
            <c:numRef>
              <c:f>Grafiikka_Grafik!$C$958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8-4252-93E8-4C6454A6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86456"/>
        <c:axId val="889286784"/>
      </c:barChart>
      <c:catAx>
        <c:axId val="889286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9286784"/>
        <c:crosses val="autoZero"/>
        <c:auto val="1"/>
        <c:lblAlgn val="ctr"/>
        <c:lblOffset val="100"/>
        <c:noMultiLvlLbl val="0"/>
      </c:catAx>
      <c:valAx>
        <c:axId val="88928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9286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Grafiikka_Grafik!$E$952</c:f>
          <c:strCache>
            <c:ptCount val="1"/>
            <c:pt idx="0">
              <c:v>,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Grafiikka_Grafik!$A$955</c:f>
              <c:strCache>
                <c:ptCount val="1"/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Grafiikka_Grafik!$B$952:$C$952</c:f>
            </c:strRef>
          </c:cat>
          <c:val>
            <c:numRef>
              <c:f>Grafiikka_Grafik!$B$955:$C$955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A-4898-97A7-56FE81B76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9286456"/>
        <c:axId val="889286784"/>
        <c:extLst>
          <c:ext xmlns:c15="http://schemas.microsoft.com/office/drawing/2012/chart" uri="{02D57815-91ED-43cb-92C2-25804820EDAC}">
            <c15:filteredBa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Grafiikka_Grafik!$A$957</c15:sqref>
                        </c15:formulaRef>
                      </c:ext>
                    </c:extLst>
                    <c:strCache>
                      <c:ptCount val="1"/>
                      <c:pt idx="0">
                        <c:v>Valitse kieli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Grafiikka_Grafik!$B$952:$C$952</c15:sqref>
                        </c15:formulaRef>
                      </c:ext>
                    </c:extLst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Grafiikka_Grafik!$B$957:$C$957</c15:sqref>
                        </c15:formulaRef>
                      </c:ext>
                    </c:extLst>
                    <c:numCache>
                      <c:formatCode>#\ ##0.00_ ;[Red]\-#\ ##0.00\ 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40A-4898-97A7-56FE81B763C8}"/>
                  </c:ext>
                </c:extLst>
              </c15:ser>
            </c15:filteredBarSeries>
            <c15:filteredBa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Grafiikka_Grafik!$A$958</c15:sqref>
                        </c15:formulaRef>
                      </c:ext>
                    </c:extLst>
                    <c:strCache>
                      <c:ptCount val="1"/>
                      <c:pt idx="0">
                        <c:v>Valitse kieli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Grafiikka_Grafik!$B$952:$C$952</c15:sqref>
                        </c15:formulaRef>
                      </c:ext>
                    </c:extLst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Grafiikka_Grafik!$B$958:$C$958</c15:sqref>
                        </c15:formulaRef>
                      </c:ext>
                    </c:extLst>
                    <c:numCache>
                      <c:formatCode>#\ ##0.00_ ;[Red]\-#\ ##0.00\ 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40A-4898-97A7-56FE81B763C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1"/>
          <c:tx>
            <c:strRef>
              <c:f>Grafiikka_Grafik!$A$956</c:f>
              <c:strCache>
                <c:ptCount val="1"/>
                <c:pt idx="0">
                  <c:v>Valitse kieli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numFmt formatCode="#,##0\ &quot;€&quot;" sourceLinked="0"/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Grafiikka_Grafik!$B$952:$C$952</c:f>
            </c:strRef>
          </c:cat>
          <c:val>
            <c:numRef>
              <c:f>Grafiikka_Grafik!$B$956:$C$956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A-4898-97A7-56FE81B76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142160"/>
        <c:axId val="754141176"/>
      </c:lineChart>
      <c:catAx>
        <c:axId val="889286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9286784"/>
        <c:crosses val="autoZero"/>
        <c:auto val="1"/>
        <c:lblAlgn val="ctr"/>
        <c:lblOffset val="100"/>
        <c:noMultiLvlLbl val="0"/>
      </c:catAx>
      <c:valAx>
        <c:axId val="88928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9286456"/>
        <c:crosses val="autoZero"/>
        <c:crossBetween val="between"/>
      </c:valAx>
      <c:valAx>
        <c:axId val="754141176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142160"/>
        <c:crosses val="max"/>
        <c:crossBetween val="between"/>
      </c:valAx>
      <c:catAx>
        <c:axId val="75414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41411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Grafiikka_Grafik!$D$471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Grafiikka_Grafik!$A$472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Grafiikka_Grafik!$B$472:$C$472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9-4B26-B619-496C6F18D127}"/>
            </c:ext>
          </c:extLst>
        </c:ser>
        <c:ser>
          <c:idx val="1"/>
          <c:order val="1"/>
          <c:tx>
            <c:strRef>
              <c:f>Grafiikka_Grafik!$A$473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Grafiikka_Grafik!$B$471:$C$471</c:f>
            </c:multiLvlStrRef>
          </c:cat>
          <c:val>
            <c:numRef>
              <c:f>Grafiikka_Grafik!$B$473:$C$473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9-4B26-B619-496C6F18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23624"/>
        <c:axId val="616224280"/>
      </c:barChart>
      <c:catAx>
        <c:axId val="616223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6224280"/>
        <c:crosses val="autoZero"/>
        <c:auto val="1"/>
        <c:lblAlgn val="ctr"/>
        <c:lblOffset val="100"/>
        <c:noMultiLvlLbl val="0"/>
      </c:catAx>
      <c:valAx>
        <c:axId val="61622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6223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Grafiikka_Grafik!$E$227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Grafiikka_Grafik!$B$227:$C$227</c:f>
            </c:multiLvlStrRef>
          </c:cat>
          <c:val>
            <c:numRef>
              <c:f>Grafiikka_Grafik!$B$228:$C$228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3-4C4A-A809-D0FF4E933621}"/>
            </c:ext>
          </c:extLst>
        </c:ser>
        <c:ser>
          <c:idx val="1"/>
          <c:order val="1"/>
          <c:tx>
            <c:strRef>
              <c:f>Grafiikka_Grafik!$A$229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Grafiikka_Grafik!$B$227:$C$227</c:f>
            </c:multiLvlStrRef>
          </c:cat>
          <c:val>
            <c:numRef>
              <c:f>Grafiikka_Grafik!$B$229:$C$229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3-4C4A-A809-D0FF4E933621}"/>
            </c:ext>
          </c:extLst>
        </c:ser>
        <c:ser>
          <c:idx val="2"/>
          <c:order val="2"/>
          <c:tx>
            <c:strRef>
              <c:f>Grafiikka_Grafik!$A$230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Grafiikka_Grafik!$B$227:$C$227</c:f>
            </c:multiLvlStrRef>
          </c:cat>
          <c:val>
            <c:numRef>
              <c:f>Grafiikka_Grafik!$B$230:$C$230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3-4C4A-A809-D0FF4E93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972792"/>
        <c:axId val="776973448"/>
      </c:barChart>
      <c:catAx>
        <c:axId val="77697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6973448"/>
        <c:crosses val="autoZero"/>
        <c:auto val="1"/>
        <c:lblAlgn val="ctr"/>
        <c:lblOffset val="100"/>
        <c:noMultiLvlLbl val="0"/>
      </c:catAx>
      <c:valAx>
        <c:axId val="776973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697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Grafiikka_Grafik!$E$228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Grafiikka_Grafik!$C$227</c:f>
            </c:multiLvlStrRef>
          </c:cat>
          <c:val>
            <c:numRef>
              <c:f>Grafiikka_Grafik!$C$228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646-970E-1D1F690B1C75}"/>
            </c:ext>
          </c:extLst>
        </c:ser>
        <c:ser>
          <c:idx val="1"/>
          <c:order val="1"/>
          <c:tx>
            <c:strRef>
              <c:f>Grafiikka_Grafik!$A$229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Grafiikka_Grafik!$C$227</c:f>
            </c:multiLvlStrRef>
          </c:cat>
          <c:val>
            <c:numRef>
              <c:f>Grafiikka_Grafik!$C$229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E-4646-970E-1D1F690B1C75}"/>
            </c:ext>
          </c:extLst>
        </c:ser>
        <c:ser>
          <c:idx val="2"/>
          <c:order val="2"/>
          <c:tx>
            <c:strRef>
              <c:f>Grafiikka_Grafik!$A$230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Grafiikka_Grafik!$C$227</c:f>
            </c:multiLvlStrRef>
          </c:cat>
          <c:val>
            <c:numRef>
              <c:f>Grafiikka_Grafik!$C$230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E-4646-970E-1D1F690B1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972792"/>
        <c:axId val="776973448"/>
      </c:barChart>
      <c:catAx>
        <c:axId val="776972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6973448"/>
        <c:crosses val="autoZero"/>
        <c:auto val="1"/>
        <c:lblAlgn val="ctr"/>
        <c:lblOffset val="100"/>
        <c:noMultiLvlLbl val="0"/>
      </c:catAx>
      <c:valAx>
        <c:axId val="776973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697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Grafiikka_Grafik!$E$227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Grafiikka_Grafik!$B$227:$C$227</c:f>
            </c:multiLvlStrRef>
          </c:cat>
          <c:val>
            <c:numRef>
              <c:f>Grafiikka_Grafik!$B$228:$C$228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7-4893-8D6B-A13A3AA55357}"/>
            </c:ext>
          </c:extLst>
        </c:ser>
        <c:ser>
          <c:idx val="1"/>
          <c:order val="1"/>
          <c:tx>
            <c:strRef>
              <c:f>Grafiikka_Grafik!$A$229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Grafiikka_Grafik!$B$227:$C$227</c:f>
            </c:multiLvlStrRef>
          </c:cat>
          <c:val>
            <c:numRef>
              <c:f>Grafiikka_Grafik!$B$229:$C$229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7-4893-8D6B-A13A3AA55357}"/>
            </c:ext>
          </c:extLst>
        </c:ser>
        <c:ser>
          <c:idx val="2"/>
          <c:order val="2"/>
          <c:tx>
            <c:strRef>
              <c:f>Grafiikka_Grafik!$A$230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Grafiikka_Grafik!$B$227:$C$227</c:f>
            </c:multiLvlStrRef>
          </c:cat>
          <c:val>
            <c:numRef>
              <c:f>Grafiikka_Grafik!$B$230:$C$230</c:f>
              <c:numCache>
                <c:formatCode>#\ ##0.00_ ;[Red]\-#\ ##0.00\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7-4893-8D6B-A13A3AA5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972792"/>
        <c:axId val="776973448"/>
      </c:barChart>
      <c:catAx>
        <c:axId val="776972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6973448"/>
        <c:crosses val="autoZero"/>
        <c:auto val="1"/>
        <c:lblAlgn val="ctr"/>
        <c:lblOffset val="100"/>
        <c:noMultiLvlLbl val="0"/>
      </c:catAx>
      <c:valAx>
        <c:axId val="776973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6972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Grafiikka_Grafik!$E$228</c:f>
          <c:strCache>
            <c:ptCount val="1"/>
            <c:pt idx="0">
              <c:v>,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Grafiikka_Grafik!$A$228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Grafiikka_Grafik!$C$227</c:f>
            </c:multiLvlStrRef>
          </c:cat>
          <c:val>
            <c:numRef>
              <c:f>Grafiikka_Grafik!$C$228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9-4511-9FFF-5B6EED1E15CA}"/>
            </c:ext>
          </c:extLst>
        </c:ser>
        <c:ser>
          <c:idx val="1"/>
          <c:order val="1"/>
          <c:tx>
            <c:strRef>
              <c:f>Grafiikka_Grafik!$A$229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Grafiikka_Grafik!$C$227</c:f>
            </c:multiLvlStrRef>
          </c:cat>
          <c:val>
            <c:numRef>
              <c:f>Grafiikka_Grafik!$C$229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9-4511-9FFF-5B6EED1E15CA}"/>
            </c:ext>
          </c:extLst>
        </c:ser>
        <c:ser>
          <c:idx val="2"/>
          <c:order val="2"/>
          <c:tx>
            <c:strRef>
              <c:f>Grafiikka_Grafik!$A$230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Grafiikka_Grafik!$C$227</c:f>
            </c:multiLvlStrRef>
          </c:cat>
          <c:val>
            <c:numRef>
              <c:f>Grafiikka_Grafik!$C$230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9-4511-9FFF-5B6EED1E1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972792"/>
        <c:axId val="776973448"/>
      </c:barChart>
      <c:catAx>
        <c:axId val="776972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6973448"/>
        <c:crosses val="autoZero"/>
        <c:auto val="1"/>
        <c:lblAlgn val="ctr"/>
        <c:lblOffset val="100"/>
        <c:noMultiLvlLbl val="0"/>
      </c:catAx>
      <c:valAx>
        <c:axId val="776973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6972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25399</xdr:colOff>
      <xdr:row>25</xdr:row>
      <xdr:rowOff>21321</xdr:rowOff>
    </xdr:from>
    <xdr:to>
      <xdr:col>25</xdr:col>
      <xdr:colOff>330200</xdr:colOff>
      <xdr:row>44</xdr:row>
      <xdr:rowOff>48137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318111</xdr:colOff>
      <xdr:row>25</xdr:row>
      <xdr:rowOff>14311</xdr:rowOff>
    </xdr:from>
    <xdr:to>
      <xdr:col>18</xdr:col>
      <xdr:colOff>13311</xdr:colOff>
      <xdr:row>44</xdr:row>
      <xdr:rowOff>41127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13896</xdr:colOff>
      <xdr:row>25</xdr:row>
      <xdr:rowOff>6694</xdr:rowOff>
    </xdr:from>
    <xdr:to>
      <xdr:col>10</xdr:col>
      <xdr:colOff>318696</xdr:colOff>
      <xdr:row>44</xdr:row>
      <xdr:rowOff>35415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809625</xdr:colOff>
      <xdr:row>44</xdr:row>
      <xdr:rowOff>13774</xdr:rowOff>
    </xdr:from>
    <xdr:to>
      <xdr:col>10</xdr:col>
      <xdr:colOff>312128</xdr:colOff>
      <xdr:row>63</xdr:row>
      <xdr:rowOff>42350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125142</xdr:colOff>
      <xdr:row>44</xdr:row>
      <xdr:rowOff>57150</xdr:rowOff>
    </xdr:from>
    <xdr:to>
      <xdr:col>39</xdr:col>
      <xdr:colOff>581025</xdr:colOff>
      <xdr:row>73</xdr:row>
      <xdr:rowOff>66675</xdr:rowOff>
    </xdr:to>
    <xdr:graphicFrame macro="">
      <xdr:nvGraphicFramePr>
        <xdr:cNvPr id="18" name="Kaavio 1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322385</xdr:colOff>
      <xdr:row>44</xdr:row>
      <xdr:rowOff>19683</xdr:rowOff>
    </xdr:from>
    <xdr:to>
      <xdr:col>18</xdr:col>
      <xdr:colOff>19050</xdr:colOff>
      <xdr:row>63</xdr:row>
      <xdr:rowOff>48259</xdr:rowOff>
    </xdr:to>
    <xdr:graphicFrame macro="">
      <xdr:nvGraphicFramePr>
        <xdr:cNvPr id="19" name="Kaavi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24764</xdr:colOff>
      <xdr:row>44</xdr:row>
      <xdr:rowOff>38099</xdr:rowOff>
    </xdr:from>
    <xdr:to>
      <xdr:col>29</xdr:col>
      <xdr:colOff>129540</xdr:colOff>
      <xdr:row>74</xdr:row>
      <xdr:rowOff>71849</xdr:rowOff>
    </xdr:to>
    <xdr:graphicFrame macro="">
      <xdr:nvGraphicFramePr>
        <xdr:cNvPr id="21" name="Kaavio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575627</xdr:colOff>
      <xdr:row>76</xdr:row>
      <xdr:rowOff>41369</xdr:rowOff>
    </xdr:from>
    <xdr:to>
      <xdr:col>33</xdr:col>
      <xdr:colOff>194442</xdr:colOff>
      <xdr:row>122</xdr:row>
      <xdr:rowOff>12119</xdr:rowOff>
    </xdr:to>
    <xdr:graphicFrame macro="">
      <xdr:nvGraphicFramePr>
        <xdr:cNvPr id="3" name="Kaavio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5714</xdr:colOff>
      <xdr:row>63</xdr:row>
      <xdr:rowOff>43815</xdr:rowOff>
    </xdr:from>
    <xdr:to>
      <xdr:col>10</xdr:col>
      <xdr:colOff>304800</xdr:colOff>
      <xdr:row>84</xdr:row>
      <xdr:rowOff>19050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310515</xdr:colOff>
      <xdr:row>63</xdr:row>
      <xdr:rowOff>57150</xdr:rowOff>
    </xdr:from>
    <xdr:to>
      <xdr:col>18</xdr:col>
      <xdr:colOff>9525</xdr:colOff>
      <xdr:row>84</xdr:row>
      <xdr:rowOff>32385</xdr:rowOff>
    </xdr:to>
    <xdr:graphicFrame macro="">
      <xdr:nvGraphicFramePr>
        <xdr:cNvPr id="22" name="Kaavi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26670</xdr:colOff>
      <xdr:row>84</xdr:row>
      <xdr:rowOff>34290</xdr:rowOff>
    </xdr:from>
    <xdr:to>
      <xdr:col>10</xdr:col>
      <xdr:colOff>304800</xdr:colOff>
      <xdr:row>105</xdr:row>
      <xdr:rowOff>57150</xdr:rowOff>
    </xdr:to>
    <xdr:graphicFrame macro="">
      <xdr:nvGraphicFramePr>
        <xdr:cNvPr id="23" name="Kaavi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295275</xdr:colOff>
      <xdr:row>84</xdr:row>
      <xdr:rowOff>43815</xdr:rowOff>
    </xdr:from>
    <xdr:to>
      <xdr:col>18</xdr:col>
      <xdr:colOff>9524</xdr:colOff>
      <xdr:row>105</xdr:row>
      <xdr:rowOff>66675</xdr:rowOff>
    </xdr:to>
    <xdr:graphicFrame macro="">
      <xdr:nvGraphicFramePr>
        <xdr:cNvPr id="24" name="Kaavi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5715</xdr:colOff>
      <xdr:row>105</xdr:row>
      <xdr:rowOff>47625</xdr:rowOff>
    </xdr:from>
    <xdr:to>
      <xdr:col>10</xdr:col>
      <xdr:colOff>295275</xdr:colOff>
      <xdr:row>126</xdr:row>
      <xdr:rowOff>70485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289559</xdr:colOff>
      <xdr:row>105</xdr:row>
      <xdr:rowOff>62865</xdr:rowOff>
    </xdr:from>
    <xdr:to>
      <xdr:col>17</xdr:col>
      <xdr:colOff>600074</xdr:colOff>
      <xdr:row>126</xdr:row>
      <xdr:rowOff>85725</xdr:rowOff>
    </xdr:to>
    <xdr:graphicFrame macro="">
      <xdr:nvGraphicFramePr>
        <xdr:cNvPr id="25" name="Kaavi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126</xdr:row>
      <xdr:rowOff>85725</xdr:rowOff>
    </xdr:from>
    <xdr:to>
      <xdr:col>10</xdr:col>
      <xdr:colOff>285750</xdr:colOff>
      <xdr:row>147</xdr:row>
      <xdr:rowOff>108585</xdr:rowOff>
    </xdr:to>
    <xdr:graphicFrame macro="">
      <xdr:nvGraphicFramePr>
        <xdr:cNvPr id="27" name="Kaavi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306704</xdr:colOff>
      <xdr:row>126</xdr:row>
      <xdr:rowOff>80010</xdr:rowOff>
    </xdr:from>
    <xdr:to>
      <xdr:col>18</xdr:col>
      <xdr:colOff>19049</xdr:colOff>
      <xdr:row>147</xdr:row>
      <xdr:rowOff>102870</xdr:rowOff>
    </xdr:to>
    <xdr:graphicFrame macro="">
      <xdr:nvGraphicFramePr>
        <xdr:cNvPr id="28" name="Kaavi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147</xdr:row>
      <xdr:rowOff>108585</xdr:rowOff>
    </xdr:from>
    <xdr:to>
      <xdr:col>10</xdr:col>
      <xdr:colOff>266700</xdr:colOff>
      <xdr:row>168</xdr:row>
      <xdr:rowOff>131445</xdr:rowOff>
    </xdr:to>
    <xdr:graphicFrame macro="">
      <xdr:nvGraphicFramePr>
        <xdr:cNvPr id="7" name="Kaavi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291465</xdr:colOff>
      <xdr:row>147</xdr:row>
      <xdr:rowOff>112395</xdr:rowOff>
    </xdr:from>
    <xdr:to>
      <xdr:col>18</xdr:col>
      <xdr:colOff>9525</xdr:colOff>
      <xdr:row>168</xdr:row>
      <xdr:rowOff>135255</xdr:rowOff>
    </xdr:to>
    <xdr:graphicFrame macro="">
      <xdr:nvGraphicFramePr>
        <xdr:cNvPr id="29" name="Kaavi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169</xdr:row>
      <xdr:rowOff>4762</xdr:rowOff>
    </xdr:from>
    <xdr:to>
      <xdr:col>10</xdr:col>
      <xdr:colOff>304800</xdr:colOff>
      <xdr:row>188</xdr:row>
      <xdr:rowOff>33337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323850</xdr:colOff>
      <xdr:row>169</xdr:row>
      <xdr:rowOff>9524</xdr:rowOff>
    </xdr:from>
    <xdr:to>
      <xdr:col>18</xdr:col>
      <xdr:colOff>19050</xdr:colOff>
      <xdr:row>196</xdr:row>
      <xdr:rowOff>28575</xdr:rowOff>
    </xdr:to>
    <xdr:graphicFrame macro="">
      <xdr:nvGraphicFramePr>
        <xdr:cNvPr id="26" name="Kaavi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1752600</xdr:colOff>
      <xdr:row>359</xdr:row>
      <xdr:rowOff>42862</xdr:rowOff>
    </xdr:from>
    <xdr:to>
      <xdr:col>8</xdr:col>
      <xdr:colOff>285750</xdr:colOff>
      <xdr:row>378</xdr:row>
      <xdr:rowOff>71437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295275</xdr:colOff>
      <xdr:row>359</xdr:row>
      <xdr:rowOff>38100</xdr:rowOff>
    </xdr:from>
    <xdr:to>
      <xdr:col>15</xdr:col>
      <xdr:colOff>600075</xdr:colOff>
      <xdr:row>378</xdr:row>
      <xdr:rowOff>66675</xdr:rowOff>
    </xdr:to>
    <xdr:graphicFrame macro="">
      <xdr:nvGraphicFramePr>
        <xdr:cNvPr id="30" name="Kaavi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0</xdr:colOff>
      <xdr:row>359</xdr:row>
      <xdr:rowOff>38100</xdr:rowOff>
    </xdr:from>
    <xdr:to>
      <xdr:col>23</xdr:col>
      <xdr:colOff>304800</xdr:colOff>
      <xdr:row>378</xdr:row>
      <xdr:rowOff>66675</xdr:rowOff>
    </xdr:to>
    <xdr:graphicFrame macro="">
      <xdr:nvGraphicFramePr>
        <xdr:cNvPr id="31" name="Kaavi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314325</xdr:colOff>
      <xdr:row>359</xdr:row>
      <xdr:rowOff>47625</xdr:rowOff>
    </xdr:from>
    <xdr:to>
      <xdr:col>31</xdr:col>
      <xdr:colOff>9525</xdr:colOff>
      <xdr:row>378</xdr:row>
      <xdr:rowOff>76200</xdr:rowOff>
    </xdr:to>
    <xdr:graphicFrame macro="">
      <xdr:nvGraphicFramePr>
        <xdr:cNvPr id="32" name="Kaavi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19050</xdr:colOff>
      <xdr:row>426</xdr:row>
      <xdr:rowOff>84772</xdr:rowOff>
    </xdr:from>
    <xdr:to>
      <xdr:col>8</xdr:col>
      <xdr:colOff>323850</xdr:colOff>
      <xdr:row>445</xdr:row>
      <xdr:rowOff>107632</xdr:rowOff>
    </xdr:to>
    <xdr:graphicFrame macro="">
      <xdr:nvGraphicFramePr>
        <xdr:cNvPr id="12" name="Kaavi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333375</xdr:colOff>
      <xdr:row>422</xdr:row>
      <xdr:rowOff>133350</xdr:rowOff>
    </xdr:from>
    <xdr:to>
      <xdr:col>16</xdr:col>
      <xdr:colOff>28575</xdr:colOff>
      <xdr:row>442</xdr:row>
      <xdr:rowOff>19050</xdr:rowOff>
    </xdr:to>
    <xdr:graphicFrame macro="">
      <xdr:nvGraphicFramePr>
        <xdr:cNvPr id="33" name="Kaavi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38100</xdr:colOff>
      <xdr:row>423</xdr:row>
      <xdr:rowOff>0</xdr:rowOff>
    </xdr:from>
    <xdr:to>
      <xdr:col>23</xdr:col>
      <xdr:colOff>342900</xdr:colOff>
      <xdr:row>442</xdr:row>
      <xdr:rowOff>28575</xdr:rowOff>
    </xdr:to>
    <xdr:graphicFrame macro="">
      <xdr:nvGraphicFramePr>
        <xdr:cNvPr id="34" name="Kaavi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</xdr:col>
      <xdr:colOff>352425</xdr:colOff>
      <xdr:row>423</xdr:row>
      <xdr:rowOff>9525</xdr:rowOff>
    </xdr:from>
    <xdr:to>
      <xdr:col>31</xdr:col>
      <xdr:colOff>47625</xdr:colOff>
      <xdr:row>442</xdr:row>
      <xdr:rowOff>38100</xdr:rowOff>
    </xdr:to>
    <xdr:graphicFrame macro="">
      <xdr:nvGraphicFramePr>
        <xdr:cNvPr id="35" name="Kaavi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31</xdr:col>
      <xdr:colOff>47625</xdr:colOff>
      <xdr:row>422</xdr:row>
      <xdr:rowOff>133350</xdr:rowOff>
    </xdr:from>
    <xdr:to>
      <xdr:col>38</xdr:col>
      <xdr:colOff>352425</xdr:colOff>
      <xdr:row>442</xdr:row>
      <xdr:rowOff>19050</xdr:rowOff>
    </xdr:to>
    <xdr:graphicFrame macro="">
      <xdr:nvGraphicFramePr>
        <xdr:cNvPr id="37" name="Kaavi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28575</xdr:colOff>
      <xdr:row>442</xdr:row>
      <xdr:rowOff>28575</xdr:rowOff>
    </xdr:from>
    <xdr:to>
      <xdr:col>23</xdr:col>
      <xdr:colOff>333375</xdr:colOff>
      <xdr:row>467</xdr:row>
      <xdr:rowOff>95250</xdr:rowOff>
    </xdr:to>
    <xdr:graphicFrame macro="">
      <xdr:nvGraphicFramePr>
        <xdr:cNvPr id="38" name="Kaavi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352425</xdr:colOff>
      <xdr:row>442</xdr:row>
      <xdr:rowOff>38099</xdr:rowOff>
    </xdr:from>
    <xdr:to>
      <xdr:col>31</xdr:col>
      <xdr:colOff>47625</xdr:colOff>
      <xdr:row>467</xdr:row>
      <xdr:rowOff>114299</xdr:rowOff>
    </xdr:to>
    <xdr:graphicFrame macro="">
      <xdr:nvGraphicFramePr>
        <xdr:cNvPr id="39" name="Kaavi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342900</xdr:colOff>
      <xdr:row>442</xdr:row>
      <xdr:rowOff>28575</xdr:rowOff>
    </xdr:from>
    <xdr:to>
      <xdr:col>16</xdr:col>
      <xdr:colOff>38100</xdr:colOff>
      <xdr:row>467</xdr:row>
      <xdr:rowOff>76200</xdr:rowOff>
    </xdr:to>
    <xdr:graphicFrame macro="">
      <xdr:nvGraphicFramePr>
        <xdr:cNvPr id="40" name="Kaavi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442</xdr:row>
      <xdr:rowOff>0</xdr:rowOff>
    </xdr:from>
    <xdr:to>
      <xdr:col>8</xdr:col>
      <xdr:colOff>304800</xdr:colOff>
      <xdr:row>467</xdr:row>
      <xdr:rowOff>85725</xdr:rowOff>
    </xdr:to>
    <xdr:graphicFrame macro="">
      <xdr:nvGraphicFramePr>
        <xdr:cNvPr id="41" name="Kaavi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0</xdr:colOff>
      <xdr:row>441</xdr:row>
      <xdr:rowOff>142874</xdr:rowOff>
    </xdr:from>
    <xdr:to>
      <xdr:col>38</xdr:col>
      <xdr:colOff>304800</xdr:colOff>
      <xdr:row>467</xdr:row>
      <xdr:rowOff>133349</xdr:rowOff>
    </xdr:to>
    <xdr:graphicFrame macro="">
      <xdr:nvGraphicFramePr>
        <xdr:cNvPr id="42" name="Kaavi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</xdr:col>
      <xdr:colOff>38100</xdr:colOff>
      <xdr:row>469</xdr:row>
      <xdr:rowOff>42862</xdr:rowOff>
    </xdr:from>
    <xdr:to>
      <xdr:col>10</xdr:col>
      <xdr:colOff>342900</xdr:colOff>
      <xdr:row>496</xdr:row>
      <xdr:rowOff>9525</xdr:rowOff>
    </xdr:to>
    <xdr:graphicFrame macro="">
      <xdr:nvGraphicFramePr>
        <xdr:cNvPr id="13" name="Kaavi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378</xdr:row>
      <xdr:rowOff>66674</xdr:rowOff>
    </xdr:from>
    <xdr:to>
      <xdr:col>8</xdr:col>
      <xdr:colOff>304800</xdr:colOff>
      <xdr:row>413</xdr:row>
      <xdr:rowOff>47624</xdr:rowOff>
    </xdr:to>
    <xdr:graphicFrame macro="">
      <xdr:nvGraphicFramePr>
        <xdr:cNvPr id="46" name="Kaavi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323850</xdr:colOff>
      <xdr:row>378</xdr:row>
      <xdr:rowOff>76200</xdr:rowOff>
    </xdr:from>
    <xdr:to>
      <xdr:col>16</xdr:col>
      <xdr:colOff>19050</xdr:colOff>
      <xdr:row>413</xdr:row>
      <xdr:rowOff>47625</xdr:rowOff>
    </xdr:to>
    <xdr:graphicFrame macro="">
      <xdr:nvGraphicFramePr>
        <xdr:cNvPr id="47" name="Kaavi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16</xdr:col>
      <xdr:colOff>19050</xdr:colOff>
      <xdr:row>378</xdr:row>
      <xdr:rowOff>76200</xdr:rowOff>
    </xdr:from>
    <xdr:to>
      <xdr:col>23</xdr:col>
      <xdr:colOff>323850</xdr:colOff>
      <xdr:row>413</xdr:row>
      <xdr:rowOff>28575</xdr:rowOff>
    </xdr:to>
    <xdr:graphicFrame macro="">
      <xdr:nvGraphicFramePr>
        <xdr:cNvPr id="48" name="Kaavi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23</xdr:col>
      <xdr:colOff>342900</xdr:colOff>
      <xdr:row>378</xdr:row>
      <xdr:rowOff>85725</xdr:rowOff>
    </xdr:from>
    <xdr:to>
      <xdr:col>31</xdr:col>
      <xdr:colOff>38100</xdr:colOff>
      <xdr:row>413</xdr:row>
      <xdr:rowOff>0</xdr:rowOff>
    </xdr:to>
    <xdr:graphicFrame macro="">
      <xdr:nvGraphicFramePr>
        <xdr:cNvPr id="49" name="Kaavi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3</xdr:col>
      <xdr:colOff>47625</xdr:colOff>
      <xdr:row>498</xdr:row>
      <xdr:rowOff>71437</xdr:rowOff>
    </xdr:from>
    <xdr:to>
      <xdr:col>10</xdr:col>
      <xdr:colOff>352425</xdr:colOff>
      <xdr:row>517</xdr:row>
      <xdr:rowOff>100012</xdr:rowOff>
    </xdr:to>
    <xdr:graphicFrame macro="">
      <xdr:nvGraphicFramePr>
        <xdr:cNvPr id="14" name="Kaavi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10</xdr:col>
      <xdr:colOff>361950</xdr:colOff>
      <xdr:row>498</xdr:row>
      <xdr:rowOff>38099</xdr:rowOff>
    </xdr:from>
    <xdr:to>
      <xdr:col>18</xdr:col>
      <xdr:colOff>57150</xdr:colOff>
      <xdr:row>519</xdr:row>
      <xdr:rowOff>28575</xdr:rowOff>
    </xdr:to>
    <xdr:graphicFrame macro="">
      <xdr:nvGraphicFramePr>
        <xdr:cNvPr id="43" name="Kaavi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47625</xdr:colOff>
      <xdr:row>517</xdr:row>
      <xdr:rowOff>104775</xdr:rowOff>
    </xdr:from>
    <xdr:to>
      <xdr:col>10</xdr:col>
      <xdr:colOff>352425</xdr:colOff>
      <xdr:row>536</xdr:row>
      <xdr:rowOff>133350</xdr:rowOff>
    </xdr:to>
    <xdr:graphicFrame macro="">
      <xdr:nvGraphicFramePr>
        <xdr:cNvPr id="44" name="Kaavi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</xdr:col>
      <xdr:colOff>104775</xdr:colOff>
      <xdr:row>543</xdr:row>
      <xdr:rowOff>119062</xdr:rowOff>
    </xdr:from>
    <xdr:to>
      <xdr:col>10</xdr:col>
      <xdr:colOff>409575</xdr:colOff>
      <xdr:row>563</xdr:row>
      <xdr:rowOff>4762</xdr:rowOff>
    </xdr:to>
    <xdr:graphicFrame macro="">
      <xdr:nvGraphicFramePr>
        <xdr:cNvPr id="15" name="Kaavi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361950</xdr:colOff>
      <xdr:row>519</xdr:row>
      <xdr:rowOff>57149</xdr:rowOff>
    </xdr:from>
    <xdr:to>
      <xdr:col>18</xdr:col>
      <xdr:colOff>57150</xdr:colOff>
      <xdr:row>540</xdr:row>
      <xdr:rowOff>47625</xdr:rowOff>
    </xdr:to>
    <xdr:graphicFrame macro="">
      <xdr:nvGraphicFramePr>
        <xdr:cNvPr id="53" name="Kaavi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</xdr:col>
      <xdr:colOff>333375</xdr:colOff>
      <xdr:row>541</xdr:row>
      <xdr:rowOff>19049</xdr:rowOff>
    </xdr:from>
    <xdr:to>
      <xdr:col>18</xdr:col>
      <xdr:colOff>28575</xdr:colOff>
      <xdr:row>562</xdr:row>
      <xdr:rowOff>114299</xdr:rowOff>
    </xdr:to>
    <xdr:graphicFrame macro="">
      <xdr:nvGraphicFramePr>
        <xdr:cNvPr id="54" name="Kaavi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</xdr:col>
      <xdr:colOff>38100</xdr:colOff>
      <xdr:row>563</xdr:row>
      <xdr:rowOff>0</xdr:rowOff>
    </xdr:from>
    <xdr:to>
      <xdr:col>10</xdr:col>
      <xdr:colOff>342900</xdr:colOff>
      <xdr:row>582</xdr:row>
      <xdr:rowOff>28575</xdr:rowOff>
    </xdr:to>
    <xdr:graphicFrame macro="">
      <xdr:nvGraphicFramePr>
        <xdr:cNvPr id="55" name="Kaavi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314325</xdr:colOff>
      <xdr:row>563</xdr:row>
      <xdr:rowOff>0</xdr:rowOff>
    </xdr:from>
    <xdr:to>
      <xdr:col>18</xdr:col>
      <xdr:colOff>9525</xdr:colOff>
      <xdr:row>584</xdr:row>
      <xdr:rowOff>95250</xdr:rowOff>
    </xdr:to>
    <xdr:graphicFrame macro="">
      <xdr:nvGraphicFramePr>
        <xdr:cNvPr id="56" name="Kaavio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</xdr:col>
      <xdr:colOff>9525</xdr:colOff>
      <xdr:row>585</xdr:row>
      <xdr:rowOff>23812</xdr:rowOff>
    </xdr:from>
    <xdr:to>
      <xdr:col>10</xdr:col>
      <xdr:colOff>314325</xdr:colOff>
      <xdr:row>604</xdr:row>
      <xdr:rowOff>52387</xdr:rowOff>
    </xdr:to>
    <xdr:graphicFrame macro="">
      <xdr:nvGraphicFramePr>
        <xdr:cNvPr id="16" name="Kaavi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314325</xdr:colOff>
      <xdr:row>585</xdr:row>
      <xdr:rowOff>9524</xdr:rowOff>
    </xdr:from>
    <xdr:to>
      <xdr:col>18</xdr:col>
      <xdr:colOff>9525</xdr:colOff>
      <xdr:row>605</xdr:row>
      <xdr:rowOff>47625</xdr:rowOff>
    </xdr:to>
    <xdr:graphicFrame macro="">
      <xdr:nvGraphicFramePr>
        <xdr:cNvPr id="57" name="Kaavio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</xdr:col>
      <xdr:colOff>19050</xdr:colOff>
      <xdr:row>605</xdr:row>
      <xdr:rowOff>57150</xdr:rowOff>
    </xdr:from>
    <xdr:to>
      <xdr:col>10</xdr:col>
      <xdr:colOff>323850</xdr:colOff>
      <xdr:row>624</xdr:row>
      <xdr:rowOff>85725</xdr:rowOff>
    </xdr:to>
    <xdr:graphicFrame macro="">
      <xdr:nvGraphicFramePr>
        <xdr:cNvPr id="58" name="Kaavi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10</xdr:col>
      <xdr:colOff>333375</xdr:colOff>
      <xdr:row>605</xdr:row>
      <xdr:rowOff>38100</xdr:rowOff>
    </xdr:from>
    <xdr:to>
      <xdr:col>18</xdr:col>
      <xdr:colOff>28575</xdr:colOff>
      <xdr:row>625</xdr:row>
      <xdr:rowOff>76201</xdr:rowOff>
    </xdr:to>
    <xdr:graphicFrame macro="">
      <xdr:nvGraphicFramePr>
        <xdr:cNvPr id="59" name="Kaavio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</xdr:col>
      <xdr:colOff>28575</xdr:colOff>
      <xdr:row>627</xdr:row>
      <xdr:rowOff>23812</xdr:rowOff>
    </xdr:from>
    <xdr:to>
      <xdr:col>10</xdr:col>
      <xdr:colOff>333375</xdr:colOff>
      <xdr:row>646</xdr:row>
      <xdr:rowOff>52387</xdr:rowOff>
    </xdr:to>
    <xdr:graphicFrame macro="">
      <xdr:nvGraphicFramePr>
        <xdr:cNvPr id="17" name="Kaavi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333375</xdr:colOff>
      <xdr:row>627</xdr:row>
      <xdr:rowOff>19049</xdr:rowOff>
    </xdr:from>
    <xdr:to>
      <xdr:col>18</xdr:col>
      <xdr:colOff>28575</xdr:colOff>
      <xdr:row>649</xdr:row>
      <xdr:rowOff>142874</xdr:rowOff>
    </xdr:to>
    <xdr:graphicFrame macro="">
      <xdr:nvGraphicFramePr>
        <xdr:cNvPr id="60" name="Kaavi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</xdr:col>
      <xdr:colOff>38100</xdr:colOff>
      <xdr:row>719</xdr:row>
      <xdr:rowOff>38100</xdr:rowOff>
    </xdr:from>
    <xdr:to>
      <xdr:col>10</xdr:col>
      <xdr:colOff>342900</xdr:colOff>
      <xdr:row>738</xdr:row>
      <xdr:rowOff>66675</xdr:rowOff>
    </xdr:to>
    <xdr:graphicFrame macro="">
      <xdr:nvGraphicFramePr>
        <xdr:cNvPr id="61" name="Kaavio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10</xdr:col>
      <xdr:colOff>342900</xdr:colOff>
      <xdr:row>719</xdr:row>
      <xdr:rowOff>38099</xdr:rowOff>
    </xdr:from>
    <xdr:to>
      <xdr:col>18</xdr:col>
      <xdr:colOff>38100</xdr:colOff>
      <xdr:row>745</xdr:row>
      <xdr:rowOff>9524</xdr:rowOff>
    </xdr:to>
    <xdr:graphicFrame macro="">
      <xdr:nvGraphicFramePr>
        <xdr:cNvPr id="62" name="Kaavi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</xdr:col>
      <xdr:colOff>47625</xdr:colOff>
      <xdr:row>738</xdr:row>
      <xdr:rowOff>66675</xdr:rowOff>
    </xdr:from>
    <xdr:to>
      <xdr:col>10</xdr:col>
      <xdr:colOff>352425</xdr:colOff>
      <xdr:row>757</xdr:row>
      <xdr:rowOff>95250</xdr:rowOff>
    </xdr:to>
    <xdr:graphicFrame macro="">
      <xdr:nvGraphicFramePr>
        <xdr:cNvPr id="63" name="Kaavio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10</xdr:col>
      <xdr:colOff>361950</xdr:colOff>
      <xdr:row>745</xdr:row>
      <xdr:rowOff>9525</xdr:rowOff>
    </xdr:from>
    <xdr:to>
      <xdr:col>18</xdr:col>
      <xdr:colOff>57150</xdr:colOff>
      <xdr:row>772</xdr:row>
      <xdr:rowOff>0</xdr:rowOff>
    </xdr:to>
    <xdr:graphicFrame macro="">
      <xdr:nvGraphicFramePr>
        <xdr:cNvPr id="64" name="Kaavi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</xdr:col>
      <xdr:colOff>28575</xdr:colOff>
      <xdr:row>674</xdr:row>
      <xdr:rowOff>33337</xdr:rowOff>
    </xdr:from>
    <xdr:to>
      <xdr:col>10</xdr:col>
      <xdr:colOff>333375</xdr:colOff>
      <xdr:row>693</xdr:row>
      <xdr:rowOff>61912</xdr:rowOff>
    </xdr:to>
    <xdr:graphicFrame macro="">
      <xdr:nvGraphicFramePr>
        <xdr:cNvPr id="36" name="Kaavi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10</xdr:col>
      <xdr:colOff>342900</xdr:colOff>
      <xdr:row>674</xdr:row>
      <xdr:rowOff>28574</xdr:rowOff>
    </xdr:from>
    <xdr:to>
      <xdr:col>18</xdr:col>
      <xdr:colOff>38100</xdr:colOff>
      <xdr:row>696</xdr:row>
      <xdr:rowOff>38100</xdr:rowOff>
    </xdr:to>
    <xdr:graphicFrame macro="">
      <xdr:nvGraphicFramePr>
        <xdr:cNvPr id="66" name="Kaavio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</xdr:col>
      <xdr:colOff>9525</xdr:colOff>
      <xdr:row>696</xdr:row>
      <xdr:rowOff>57150</xdr:rowOff>
    </xdr:from>
    <xdr:to>
      <xdr:col>10</xdr:col>
      <xdr:colOff>314325</xdr:colOff>
      <xdr:row>715</xdr:row>
      <xdr:rowOff>85725</xdr:rowOff>
    </xdr:to>
    <xdr:graphicFrame macro="">
      <xdr:nvGraphicFramePr>
        <xdr:cNvPr id="67" name="Kaavio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10</xdr:col>
      <xdr:colOff>342900</xdr:colOff>
      <xdr:row>696</xdr:row>
      <xdr:rowOff>57150</xdr:rowOff>
    </xdr:from>
    <xdr:to>
      <xdr:col>18</xdr:col>
      <xdr:colOff>38100</xdr:colOff>
      <xdr:row>718</xdr:row>
      <xdr:rowOff>66676</xdr:rowOff>
    </xdr:to>
    <xdr:graphicFrame macro="">
      <xdr:nvGraphicFramePr>
        <xdr:cNvPr id="68" name="Kaavi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18</xdr:col>
      <xdr:colOff>38100</xdr:colOff>
      <xdr:row>719</xdr:row>
      <xdr:rowOff>28575</xdr:rowOff>
    </xdr:from>
    <xdr:to>
      <xdr:col>25</xdr:col>
      <xdr:colOff>342900</xdr:colOff>
      <xdr:row>738</xdr:row>
      <xdr:rowOff>57150</xdr:rowOff>
    </xdr:to>
    <xdr:graphicFrame macro="">
      <xdr:nvGraphicFramePr>
        <xdr:cNvPr id="69" name="Kaavio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18</xdr:col>
      <xdr:colOff>47625</xdr:colOff>
      <xdr:row>738</xdr:row>
      <xdr:rowOff>66675</xdr:rowOff>
    </xdr:from>
    <xdr:to>
      <xdr:col>25</xdr:col>
      <xdr:colOff>352425</xdr:colOff>
      <xdr:row>757</xdr:row>
      <xdr:rowOff>95250</xdr:rowOff>
    </xdr:to>
    <xdr:graphicFrame macro="">
      <xdr:nvGraphicFramePr>
        <xdr:cNvPr id="70" name="Kaavio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25</xdr:col>
      <xdr:colOff>342900</xdr:colOff>
      <xdr:row>719</xdr:row>
      <xdr:rowOff>28575</xdr:rowOff>
    </xdr:from>
    <xdr:to>
      <xdr:col>33</xdr:col>
      <xdr:colOff>38100</xdr:colOff>
      <xdr:row>738</xdr:row>
      <xdr:rowOff>57150</xdr:rowOff>
    </xdr:to>
    <xdr:graphicFrame macro="">
      <xdr:nvGraphicFramePr>
        <xdr:cNvPr id="71" name="Kaavio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25</xdr:col>
      <xdr:colOff>371475</xdr:colOff>
      <xdr:row>738</xdr:row>
      <xdr:rowOff>57150</xdr:rowOff>
    </xdr:from>
    <xdr:to>
      <xdr:col>33</xdr:col>
      <xdr:colOff>66675</xdr:colOff>
      <xdr:row>757</xdr:row>
      <xdr:rowOff>85725</xdr:rowOff>
    </xdr:to>
    <xdr:graphicFrame macro="">
      <xdr:nvGraphicFramePr>
        <xdr:cNvPr id="72" name="Kaavio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33</xdr:col>
      <xdr:colOff>38100</xdr:colOff>
      <xdr:row>719</xdr:row>
      <xdr:rowOff>19050</xdr:rowOff>
    </xdr:from>
    <xdr:to>
      <xdr:col>40</xdr:col>
      <xdr:colOff>342900</xdr:colOff>
      <xdr:row>738</xdr:row>
      <xdr:rowOff>47625</xdr:rowOff>
    </xdr:to>
    <xdr:graphicFrame macro="">
      <xdr:nvGraphicFramePr>
        <xdr:cNvPr id="73" name="Kaavio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40</xdr:col>
      <xdr:colOff>352425</xdr:colOff>
      <xdr:row>719</xdr:row>
      <xdr:rowOff>19048</xdr:rowOff>
    </xdr:from>
    <xdr:to>
      <xdr:col>48</xdr:col>
      <xdr:colOff>47625</xdr:colOff>
      <xdr:row>741</xdr:row>
      <xdr:rowOff>123825</xdr:rowOff>
    </xdr:to>
    <xdr:graphicFrame macro="">
      <xdr:nvGraphicFramePr>
        <xdr:cNvPr id="74" name="Kaavio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33</xdr:col>
      <xdr:colOff>47625</xdr:colOff>
      <xdr:row>738</xdr:row>
      <xdr:rowOff>57150</xdr:rowOff>
    </xdr:from>
    <xdr:to>
      <xdr:col>40</xdr:col>
      <xdr:colOff>352425</xdr:colOff>
      <xdr:row>757</xdr:row>
      <xdr:rowOff>85725</xdr:rowOff>
    </xdr:to>
    <xdr:graphicFrame macro="">
      <xdr:nvGraphicFramePr>
        <xdr:cNvPr id="75" name="Kaavio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40</xdr:col>
      <xdr:colOff>361950</xdr:colOff>
      <xdr:row>742</xdr:row>
      <xdr:rowOff>0</xdr:rowOff>
    </xdr:from>
    <xdr:to>
      <xdr:col>48</xdr:col>
      <xdr:colOff>57150</xdr:colOff>
      <xdr:row>764</xdr:row>
      <xdr:rowOff>104777</xdr:rowOff>
    </xdr:to>
    <xdr:graphicFrame macro="">
      <xdr:nvGraphicFramePr>
        <xdr:cNvPr id="76" name="Kaavio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3</xdr:col>
      <xdr:colOff>28575</xdr:colOff>
      <xdr:row>772</xdr:row>
      <xdr:rowOff>33337</xdr:rowOff>
    </xdr:from>
    <xdr:to>
      <xdr:col>10</xdr:col>
      <xdr:colOff>333375</xdr:colOff>
      <xdr:row>791</xdr:row>
      <xdr:rowOff>61912</xdr:rowOff>
    </xdr:to>
    <xdr:graphicFrame macro="">
      <xdr:nvGraphicFramePr>
        <xdr:cNvPr id="77" name="Kaavio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10</xdr:col>
      <xdr:colOff>333375</xdr:colOff>
      <xdr:row>772</xdr:row>
      <xdr:rowOff>19050</xdr:rowOff>
    </xdr:from>
    <xdr:to>
      <xdr:col>18</xdr:col>
      <xdr:colOff>28575</xdr:colOff>
      <xdr:row>794</xdr:row>
      <xdr:rowOff>28575</xdr:rowOff>
    </xdr:to>
    <xdr:graphicFrame macro="">
      <xdr:nvGraphicFramePr>
        <xdr:cNvPr id="78" name="Kaavio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3</xdr:col>
      <xdr:colOff>47625</xdr:colOff>
      <xdr:row>791</xdr:row>
      <xdr:rowOff>76200</xdr:rowOff>
    </xdr:from>
    <xdr:to>
      <xdr:col>10</xdr:col>
      <xdr:colOff>352425</xdr:colOff>
      <xdr:row>810</xdr:row>
      <xdr:rowOff>104775</xdr:rowOff>
    </xdr:to>
    <xdr:graphicFrame macro="">
      <xdr:nvGraphicFramePr>
        <xdr:cNvPr id="79" name="Kaavi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10</xdr:col>
      <xdr:colOff>342900</xdr:colOff>
      <xdr:row>794</xdr:row>
      <xdr:rowOff>19050</xdr:rowOff>
    </xdr:from>
    <xdr:to>
      <xdr:col>18</xdr:col>
      <xdr:colOff>38100</xdr:colOff>
      <xdr:row>816</xdr:row>
      <xdr:rowOff>28575</xdr:rowOff>
    </xdr:to>
    <xdr:graphicFrame macro="">
      <xdr:nvGraphicFramePr>
        <xdr:cNvPr id="80" name="Kaavio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3</xdr:col>
      <xdr:colOff>47625</xdr:colOff>
      <xdr:row>817</xdr:row>
      <xdr:rowOff>33337</xdr:rowOff>
    </xdr:from>
    <xdr:to>
      <xdr:col>10</xdr:col>
      <xdr:colOff>352425</xdr:colOff>
      <xdr:row>836</xdr:row>
      <xdr:rowOff>61912</xdr:rowOff>
    </xdr:to>
    <xdr:graphicFrame macro="">
      <xdr:nvGraphicFramePr>
        <xdr:cNvPr id="81" name="Kaavio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10</xdr:col>
      <xdr:colOff>361950</xdr:colOff>
      <xdr:row>817</xdr:row>
      <xdr:rowOff>28575</xdr:rowOff>
    </xdr:from>
    <xdr:to>
      <xdr:col>18</xdr:col>
      <xdr:colOff>57150</xdr:colOff>
      <xdr:row>840</xdr:row>
      <xdr:rowOff>114300</xdr:rowOff>
    </xdr:to>
    <xdr:graphicFrame macro="">
      <xdr:nvGraphicFramePr>
        <xdr:cNvPr id="82" name="Kaavio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3</xdr:col>
      <xdr:colOff>0</xdr:colOff>
      <xdr:row>841</xdr:row>
      <xdr:rowOff>0</xdr:rowOff>
    </xdr:from>
    <xdr:to>
      <xdr:col>10</xdr:col>
      <xdr:colOff>304800</xdr:colOff>
      <xdr:row>860</xdr:row>
      <xdr:rowOff>28575</xdr:rowOff>
    </xdr:to>
    <xdr:graphicFrame macro="">
      <xdr:nvGraphicFramePr>
        <xdr:cNvPr id="83" name="Kaavio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10</xdr:col>
      <xdr:colOff>352425</xdr:colOff>
      <xdr:row>841</xdr:row>
      <xdr:rowOff>9525</xdr:rowOff>
    </xdr:from>
    <xdr:to>
      <xdr:col>18</xdr:col>
      <xdr:colOff>47625</xdr:colOff>
      <xdr:row>864</xdr:row>
      <xdr:rowOff>95250</xdr:rowOff>
    </xdr:to>
    <xdr:graphicFrame macro="">
      <xdr:nvGraphicFramePr>
        <xdr:cNvPr id="84" name="Kaavi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3</xdr:col>
      <xdr:colOff>19049</xdr:colOff>
      <xdr:row>866</xdr:row>
      <xdr:rowOff>14287</xdr:rowOff>
    </xdr:from>
    <xdr:to>
      <xdr:col>10</xdr:col>
      <xdr:colOff>333374</xdr:colOff>
      <xdr:row>885</xdr:row>
      <xdr:rowOff>42862</xdr:rowOff>
    </xdr:to>
    <xdr:graphicFrame macro="">
      <xdr:nvGraphicFramePr>
        <xdr:cNvPr id="87" name="Kaavio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10</xdr:col>
      <xdr:colOff>352425</xdr:colOff>
      <xdr:row>866</xdr:row>
      <xdr:rowOff>19050</xdr:rowOff>
    </xdr:from>
    <xdr:to>
      <xdr:col>18</xdr:col>
      <xdr:colOff>47625</xdr:colOff>
      <xdr:row>888</xdr:row>
      <xdr:rowOff>57150</xdr:rowOff>
    </xdr:to>
    <xdr:graphicFrame macro="">
      <xdr:nvGraphicFramePr>
        <xdr:cNvPr id="89" name="Kaavi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</xdr:col>
      <xdr:colOff>19050</xdr:colOff>
      <xdr:row>911</xdr:row>
      <xdr:rowOff>42862</xdr:rowOff>
    </xdr:from>
    <xdr:to>
      <xdr:col>10</xdr:col>
      <xdr:colOff>323850</xdr:colOff>
      <xdr:row>930</xdr:row>
      <xdr:rowOff>71437</xdr:rowOff>
    </xdr:to>
    <xdr:graphicFrame macro="">
      <xdr:nvGraphicFramePr>
        <xdr:cNvPr id="90" name="Kaavio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10</xdr:col>
      <xdr:colOff>333375</xdr:colOff>
      <xdr:row>911</xdr:row>
      <xdr:rowOff>38100</xdr:rowOff>
    </xdr:from>
    <xdr:to>
      <xdr:col>18</xdr:col>
      <xdr:colOff>28575</xdr:colOff>
      <xdr:row>930</xdr:row>
      <xdr:rowOff>66675</xdr:rowOff>
    </xdr:to>
    <xdr:graphicFrame macro="">
      <xdr:nvGraphicFramePr>
        <xdr:cNvPr id="91" name="Kaavi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3</xdr:col>
      <xdr:colOff>28575</xdr:colOff>
      <xdr:row>930</xdr:row>
      <xdr:rowOff>57150</xdr:rowOff>
    </xdr:from>
    <xdr:to>
      <xdr:col>10</xdr:col>
      <xdr:colOff>333375</xdr:colOff>
      <xdr:row>949</xdr:row>
      <xdr:rowOff>85725</xdr:rowOff>
    </xdr:to>
    <xdr:graphicFrame macro="">
      <xdr:nvGraphicFramePr>
        <xdr:cNvPr id="92" name="Kaavi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10</xdr:col>
      <xdr:colOff>333375</xdr:colOff>
      <xdr:row>930</xdr:row>
      <xdr:rowOff>57150</xdr:rowOff>
    </xdr:from>
    <xdr:to>
      <xdr:col>18</xdr:col>
      <xdr:colOff>28575</xdr:colOff>
      <xdr:row>949</xdr:row>
      <xdr:rowOff>85725</xdr:rowOff>
    </xdr:to>
    <xdr:graphicFrame macro="">
      <xdr:nvGraphicFramePr>
        <xdr:cNvPr id="93" name="Kaavi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3</xdr:col>
      <xdr:colOff>38100</xdr:colOff>
      <xdr:row>649</xdr:row>
      <xdr:rowOff>104775</xdr:rowOff>
    </xdr:from>
    <xdr:to>
      <xdr:col>10</xdr:col>
      <xdr:colOff>342900</xdr:colOff>
      <xdr:row>668</xdr:row>
      <xdr:rowOff>133350</xdr:rowOff>
    </xdr:to>
    <xdr:graphicFrame macro="">
      <xdr:nvGraphicFramePr>
        <xdr:cNvPr id="101" name="Kaavi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10</xdr:col>
      <xdr:colOff>342900</xdr:colOff>
      <xdr:row>650</xdr:row>
      <xdr:rowOff>0</xdr:rowOff>
    </xdr:from>
    <xdr:to>
      <xdr:col>18</xdr:col>
      <xdr:colOff>38100</xdr:colOff>
      <xdr:row>672</xdr:row>
      <xdr:rowOff>123825</xdr:rowOff>
    </xdr:to>
    <xdr:graphicFrame macro="">
      <xdr:nvGraphicFramePr>
        <xdr:cNvPr id="102" name="Kaavi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18</xdr:col>
      <xdr:colOff>38100</xdr:colOff>
      <xdr:row>669</xdr:row>
      <xdr:rowOff>66675</xdr:rowOff>
    </xdr:from>
    <xdr:to>
      <xdr:col>25</xdr:col>
      <xdr:colOff>342900</xdr:colOff>
      <xdr:row>688</xdr:row>
      <xdr:rowOff>95250</xdr:rowOff>
    </xdr:to>
    <xdr:graphicFrame macro="">
      <xdr:nvGraphicFramePr>
        <xdr:cNvPr id="103" name="Kaavi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18</xdr:col>
      <xdr:colOff>38100</xdr:colOff>
      <xdr:row>650</xdr:row>
      <xdr:rowOff>19050</xdr:rowOff>
    </xdr:from>
    <xdr:to>
      <xdr:col>25</xdr:col>
      <xdr:colOff>342900</xdr:colOff>
      <xdr:row>669</xdr:row>
      <xdr:rowOff>47625</xdr:rowOff>
    </xdr:to>
    <xdr:graphicFrame macro="">
      <xdr:nvGraphicFramePr>
        <xdr:cNvPr id="104" name="Kaavi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25</xdr:col>
      <xdr:colOff>342900</xdr:colOff>
      <xdr:row>650</xdr:row>
      <xdr:rowOff>0</xdr:rowOff>
    </xdr:from>
    <xdr:to>
      <xdr:col>33</xdr:col>
      <xdr:colOff>38100</xdr:colOff>
      <xdr:row>669</xdr:row>
      <xdr:rowOff>28575</xdr:rowOff>
    </xdr:to>
    <xdr:graphicFrame macro="">
      <xdr:nvGraphicFramePr>
        <xdr:cNvPr id="107" name="Kaavi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3</xdr:col>
      <xdr:colOff>19049</xdr:colOff>
      <xdr:row>888</xdr:row>
      <xdr:rowOff>19050</xdr:rowOff>
    </xdr:from>
    <xdr:to>
      <xdr:col>10</xdr:col>
      <xdr:colOff>352424</xdr:colOff>
      <xdr:row>907</xdr:row>
      <xdr:rowOff>47625</xdr:rowOff>
    </xdr:to>
    <xdr:graphicFrame macro="">
      <xdr:nvGraphicFramePr>
        <xdr:cNvPr id="108" name="Kaavio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10</xdr:col>
      <xdr:colOff>361950</xdr:colOff>
      <xdr:row>888</xdr:row>
      <xdr:rowOff>38100</xdr:rowOff>
    </xdr:from>
    <xdr:to>
      <xdr:col>18</xdr:col>
      <xdr:colOff>57150</xdr:colOff>
      <xdr:row>910</xdr:row>
      <xdr:rowOff>76200</xdr:rowOff>
    </xdr:to>
    <xdr:graphicFrame macro="">
      <xdr:nvGraphicFramePr>
        <xdr:cNvPr id="109" name="Kaavi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12</xdr:col>
      <xdr:colOff>38100</xdr:colOff>
      <xdr:row>951</xdr:row>
      <xdr:rowOff>19050</xdr:rowOff>
    </xdr:from>
    <xdr:to>
      <xdr:col>19</xdr:col>
      <xdr:colOff>342900</xdr:colOff>
      <xdr:row>970</xdr:row>
      <xdr:rowOff>47625</xdr:rowOff>
    </xdr:to>
    <xdr:graphicFrame macro="">
      <xdr:nvGraphicFramePr>
        <xdr:cNvPr id="100" name="Kaavi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3</xdr:col>
      <xdr:colOff>9524</xdr:colOff>
      <xdr:row>951</xdr:row>
      <xdr:rowOff>9524</xdr:rowOff>
    </xdr:from>
    <xdr:to>
      <xdr:col>12</xdr:col>
      <xdr:colOff>19050</xdr:colOff>
      <xdr:row>977</xdr:row>
      <xdr:rowOff>38100</xdr:rowOff>
    </xdr:to>
    <xdr:graphicFrame macro="">
      <xdr:nvGraphicFramePr>
        <xdr:cNvPr id="112" name="Kaavio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</xdr:col>
      <xdr:colOff>9524</xdr:colOff>
      <xdr:row>977</xdr:row>
      <xdr:rowOff>66675</xdr:rowOff>
    </xdr:from>
    <xdr:to>
      <xdr:col>12</xdr:col>
      <xdr:colOff>19049</xdr:colOff>
      <xdr:row>1003</xdr:row>
      <xdr:rowOff>85725</xdr:rowOff>
    </xdr:to>
    <xdr:graphicFrame macro="">
      <xdr:nvGraphicFramePr>
        <xdr:cNvPr id="113" name="Kaavio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19</xdr:col>
      <xdr:colOff>333375</xdr:colOff>
      <xdr:row>951</xdr:row>
      <xdr:rowOff>19050</xdr:rowOff>
    </xdr:from>
    <xdr:to>
      <xdr:col>27</xdr:col>
      <xdr:colOff>333375</xdr:colOff>
      <xdr:row>978</xdr:row>
      <xdr:rowOff>57150</xdr:rowOff>
    </xdr:to>
    <xdr:graphicFrame macro="">
      <xdr:nvGraphicFramePr>
        <xdr:cNvPr id="116" name="Kaavio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10</xdr:col>
      <xdr:colOff>352425</xdr:colOff>
      <xdr:row>469</xdr:row>
      <xdr:rowOff>38100</xdr:rowOff>
    </xdr:from>
    <xdr:to>
      <xdr:col>18</xdr:col>
      <xdr:colOff>47625</xdr:colOff>
      <xdr:row>496</xdr:row>
      <xdr:rowOff>4763</xdr:rowOff>
    </xdr:to>
    <xdr:graphicFrame macro="">
      <xdr:nvGraphicFramePr>
        <xdr:cNvPr id="117" name="Kaavio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3</xdr:col>
      <xdr:colOff>19050</xdr:colOff>
      <xdr:row>224</xdr:row>
      <xdr:rowOff>33337</xdr:rowOff>
    </xdr:from>
    <xdr:to>
      <xdr:col>10</xdr:col>
      <xdr:colOff>323850</xdr:colOff>
      <xdr:row>243</xdr:row>
      <xdr:rowOff>61912</xdr:rowOff>
    </xdr:to>
    <xdr:graphicFrame macro="">
      <xdr:nvGraphicFramePr>
        <xdr:cNvPr id="50" name="Kaavio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3</xdr:col>
      <xdr:colOff>28575</xdr:colOff>
      <xdr:row>243</xdr:row>
      <xdr:rowOff>76200</xdr:rowOff>
    </xdr:from>
    <xdr:to>
      <xdr:col>10</xdr:col>
      <xdr:colOff>333375</xdr:colOff>
      <xdr:row>262</xdr:row>
      <xdr:rowOff>104775</xdr:rowOff>
    </xdr:to>
    <xdr:graphicFrame macro="">
      <xdr:nvGraphicFramePr>
        <xdr:cNvPr id="118" name="Kaavio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10</xdr:col>
      <xdr:colOff>333375</xdr:colOff>
      <xdr:row>224</xdr:row>
      <xdr:rowOff>28575</xdr:rowOff>
    </xdr:from>
    <xdr:to>
      <xdr:col>18</xdr:col>
      <xdr:colOff>28575</xdr:colOff>
      <xdr:row>243</xdr:row>
      <xdr:rowOff>57150</xdr:rowOff>
    </xdr:to>
    <xdr:graphicFrame macro="">
      <xdr:nvGraphicFramePr>
        <xdr:cNvPr id="120" name="Kaavio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10</xdr:col>
      <xdr:colOff>342900</xdr:colOff>
      <xdr:row>243</xdr:row>
      <xdr:rowOff>66675</xdr:rowOff>
    </xdr:from>
    <xdr:to>
      <xdr:col>18</xdr:col>
      <xdr:colOff>38100</xdr:colOff>
      <xdr:row>262</xdr:row>
      <xdr:rowOff>95250</xdr:rowOff>
    </xdr:to>
    <xdr:graphicFrame macro="">
      <xdr:nvGraphicFramePr>
        <xdr:cNvPr id="121" name="Kaavio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3</xdr:col>
      <xdr:colOff>19050</xdr:colOff>
      <xdr:row>264</xdr:row>
      <xdr:rowOff>14287</xdr:rowOff>
    </xdr:from>
    <xdr:to>
      <xdr:col>10</xdr:col>
      <xdr:colOff>323850</xdr:colOff>
      <xdr:row>283</xdr:row>
      <xdr:rowOff>42862</xdr:rowOff>
    </xdr:to>
    <xdr:graphicFrame macro="">
      <xdr:nvGraphicFramePr>
        <xdr:cNvPr id="51" name="Kaavio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3</xdr:col>
      <xdr:colOff>19050</xdr:colOff>
      <xdr:row>283</xdr:row>
      <xdr:rowOff>28575</xdr:rowOff>
    </xdr:from>
    <xdr:to>
      <xdr:col>10</xdr:col>
      <xdr:colOff>323850</xdr:colOff>
      <xdr:row>302</xdr:row>
      <xdr:rowOff>57150</xdr:rowOff>
    </xdr:to>
    <xdr:graphicFrame macro="">
      <xdr:nvGraphicFramePr>
        <xdr:cNvPr id="122" name="Kaavio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10</xdr:col>
      <xdr:colOff>342900</xdr:colOff>
      <xdr:row>264</xdr:row>
      <xdr:rowOff>19049</xdr:rowOff>
    </xdr:from>
    <xdr:to>
      <xdr:col>18</xdr:col>
      <xdr:colOff>38100</xdr:colOff>
      <xdr:row>287</xdr:row>
      <xdr:rowOff>57150</xdr:rowOff>
    </xdr:to>
    <xdr:graphicFrame macro="">
      <xdr:nvGraphicFramePr>
        <xdr:cNvPr id="123" name="Kaavio 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10</xdr:col>
      <xdr:colOff>333375</xdr:colOff>
      <xdr:row>287</xdr:row>
      <xdr:rowOff>66675</xdr:rowOff>
    </xdr:from>
    <xdr:to>
      <xdr:col>18</xdr:col>
      <xdr:colOff>28575</xdr:colOff>
      <xdr:row>310</xdr:row>
      <xdr:rowOff>95250</xdr:rowOff>
    </xdr:to>
    <xdr:graphicFrame macro="">
      <xdr:nvGraphicFramePr>
        <xdr:cNvPr id="124" name="Kaavio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3</xdr:col>
      <xdr:colOff>38100</xdr:colOff>
      <xdr:row>311</xdr:row>
      <xdr:rowOff>42862</xdr:rowOff>
    </xdr:from>
    <xdr:to>
      <xdr:col>10</xdr:col>
      <xdr:colOff>342900</xdr:colOff>
      <xdr:row>330</xdr:row>
      <xdr:rowOff>71437</xdr:rowOff>
    </xdr:to>
    <xdr:graphicFrame macro="">
      <xdr:nvGraphicFramePr>
        <xdr:cNvPr id="52" name="Kaavio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3</xdr:col>
      <xdr:colOff>0</xdr:colOff>
      <xdr:row>188</xdr:row>
      <xdr:rowOff>0</xdr:rowOff>
    </xdr:from>
    <xdr:to>
      <xdr:col>10</xdr:col>
      <xdr:colOff>304800</xdr:colOff>
      <xdr:row>207</xdr:row>
      <xdr:rowOff>28575</xdr:rowOff>
    </xdr:to>
    <xdr:graphicFrame macro="">
      <xdr:nvGraphicFramePr>
        <xdr:cNvPr id="125" name="Kaavio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10</xdr:col>
      <xdr:colOff>314325</xdr:colOff>
      <xdr:row>196</xdr:row>
      <xdr:rowOff>28575</xdr:rowOff>
    </xdr:from>
    <xdr:to>
      <xdr:col>18</xdr:col>
      <xdr:colOff>9525</xdr:colOff>
      <xdr:row>223</xdr:row>
      <xdr:rowOff>47626</xdr:rowOff>
    </xdr:to>
    <xdr:graphicFrame macro="">
      <xdr:nvGraphicFramePr>
        <xdr:cNvPr id="126" name="Kaavio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3</xdr:col>
      <xdr:colOff>38100</xdr:colOff>
      <xdr:row>330</xdr:row>
      <xdr:rowOff>76200</xdr:rowOff>
    </xdr:from>
    <xdr:to>
      <xdr:col>10</xdr:col>
      <xdr:colOff>342900</xdr:colOff>
      <xdr:row>349</xdr:row>
      <xdr:rowOff>104775</xdr:rowOff>
    </xdr:to>
    <xdr:graphicFrame macro="">
      <xdr:nvGraphicFramePr>
        <xdr:cNvPr id="127" name="Kaavio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10</xdr:col>
      <xdr:colOff>352425</xdr:colOff>
      <xdr:row>311</xdr:row>
      <xdr:rowOff>38100</xdr:rowOff>
    </xdr:from>
    <xdr:to>
      <xdr:col>18</xdr:col>
      <xdr:colOff>47625</xdr:colOff>
      <xdr:row>330</xdr:row>
      <xdr:rowOff>66675</xdr:rowOff>
    </xdr:to>
    <xdr:graphicFrame macro="">
      <xdr:nvGraphicFramePr>
        <xdr:cNvPr id="128" name="Kaavio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10</xdr:col>
      <xdr:colOff>342900</xdr:colOff>
      <xdr:row>330</xdr:row>
      <xdr:rowOff>66675</xdr:rowOff>
    </xdr:from>
    <xdr:to>
      <xdr:col>18</xdr:col>
      <xdr:colOff>38100</xdr:colOff>
      <xdr:row>349</xdr:row>
      <xdr:rowOff>95250</xdr:rowOff>
    </xdr:to>
    <xdr:graphicFrame macro="">
      <xdr:nvGraphicFramePr>
        <xdr:cNvPr id="129" name="Kaavio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tabColor rgb="FFC00000"/>
  </sheetPr>
  <dimension ref="A1:AMJ29"/>
  <sheetViews>
    <sheetView tabSelected="1" zoomScaleNormal="100" workbookViewId="0">
      <selection activeCell="D1" sqref="D1"/>
    </sheetView>
  </sheetViews>
  <sheetFormatPr defaultColWidth="0" defaultRowHeight="15" zeroHeight="1" x14ac:dyDescent="0.25"/>
  <cols>
    <col min="1" max="21" width="9.7109375" style="74" customWidth="1"/>
    <col min="22" max="1024" width="9.7109375" style="74" hidden="1"/>
    <col min="1025" max="16384" width="8.85546875" style="66" hidden="1"/>
  </cols>
  <sheetData>
    <row r="1" spans="1:1024" s="63" customFormat="1" ht="17.25" thickTop="1" thickBot="1" x14ac:dyDescent="0.3">
      <c r="A1" s="1"/>
      <c r="B1" s="2"/>
      <c r="C1" s="3" t="s">
        <v>2</v>
      </c>
      <c r="D1" s="78"/>
      <c r="E1" s="97" t="s">
        <v>1293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60"/>
      <c r="V1" s="61"/>
      <c r="W1" s="62"/>
      <c r="X1" s="62"/>
    </row>
    <row r="2" spans="1:1024" ht="16.5" thickTop="1" x14ac:dyDescent="0.25">
      <c r="A2" s="95" t="str">
        <f>IF(Kielivalinta="Suomi","Ohjeet",IF(Kielivalinta="Svenska","Instruktioner",""))</f>
        <v/>
      </c>
      <c r="B2" s="64"/>
      <c r="C2" s="65"/>
      <c r="D2" s="64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64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</row>
    <row r="3" spans="1:1024" x14ac:dyDescent="0.25">
      <c r="A3" s="67" t="str">
        <f ca="1">IF(D1="","Olet taulussa / Du är i tabellen "&amp;MID(CELL("filename",A3),FIND("]",CELL("filename",A3))+1,255),"")</f>
        <v>Olet taulussa / Du är i tabellen Aloitus_Start</v>
      </c>
      <c r="B3" s="68"/>
      <c r="C3" s="68"/>
      <c r="D3" s="68"/>
      <c r="E3" s="69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2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  <c r="PW3" s="66"/>
      <c r="PX3" s="66"/>
      <c r="PY3" s="66"/>
      <c r="PZ3" s="66"/>
      <c r="QA3" s="66"/>
      <c r="QB3" s="66"/>
      <c r="QC3" s="66"/>
      <c r="QD3" s="66"/>
      <c r="QE3" s="66"/>
      <c r="QF3" s="66"/>
      <c r="QG3" s="66"/>
      <c r="QH3" s="66"/>
      <c r="QI3" s="66"/>
      <c r="QJ3" s="66"/>
      <c r="QK3" s="66"/>
      <c r="QL3" s="66"/>
      <c r="QM3" s="66"/>
      <c r="QN3" s="66"/>
      <c r="QO3" s="66"/>
      <c r="QP3" s="66"/>
      <c r="QQ3" s="66"/>
      <c r="QR3" s="66"/>
      <c r="QS3" s="66"/>
      <c r="QT3" s="66"/>
      <c r="QU3" s="66"/>
      <c r="QV3" s="66"/>
      <c r="QW3" s="66"/>
      <c r="QX3" s="66"/>
      <c r="QY3" s="66"/>
      <c r="QZ3" s="66"/>
      <c r="RA3" s="66"/>
      <c r="RB3" s="66"/>
      <c r="RC3" s="66"/>
      <c r="RD3" s="66"/>
      <c r="RE3" s="66"/>
      <c r="RF3" s="66"/>
      <c r="RG3" s="66"/>
      <c r="RH3" s="66"/>
      <c r="RI3" s="66"/>
      <c r="RJ3" s="66"/>
      <c r="RK3" s="66"/>
      <c r="RL3" s="66"/>
      <c r="RM3" s="66"/>
      <c r="RN3" s="66"/>
      <c r="RO3" s="66"/>
      <c r="RP3" s="66"/>
      <c r="RQ3" s="66"/>
      <c r="RR3" s="66"/>
      <c r="RS3" s="66"/>
      <c r="RT3" s="66"/>
      <c r="RU3" s="66"/>
      <c r="RV3" s="66"/>
      <c r="RW3" s="66"/>
      <c r="RX3" s="66"/>
      <c r="RY3" s="66"/>
      <c r="RZ3" s="66"/>
      <c r="SA3" s="66"/>
      <c r="SB3" s="66"/>
      <c r="SC3" s="66"/>
      <c r="SD3" s="66"/>
      <c r="SE3" s="66"/>
      <c r="SF3" s="66"/>
      <c r="SG3" s="66"/>
      <c r="SH3" s="66"/>
      <c r="SI3" s="66"/>
      <c r="SJ3" s="66"/>
      <c r="SK3" s="66"/>
      <c r="SL3" s="66"/>
      <c r="SM3" s="66"/>
      <c r="SN3" s="66"/>
      <c r="SO3" s="66"/>
      <c r="SP3" s="66"/>
      <c r="SQ3" s="66"/>
      <c r="SR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TC3" s="66"/>
      <c r="TD3" s="66"/>
      <c r="TE3" s="66"/>
      <c r="TF3" s="66"/>
      <c r="TG3" s="66"/>
      <c r="TH3" s="66"/>
      <c r="TI3" s="66"/>
      <c r="TJ3" s="66"/>
      <c r="TK3" s="66"/>
      <c r="TL3" s="66"/>
      <c r="TM3" s="66"/>
      <c r="TN3" s="66"/>
      <c r="TO3" s="66"/>
      <c r="TP3" s="66"/>
      <c r="TQ3" s="66"/>
      <c r="TR3" s="66"/>
      <c r="TS3" s="66"/>
      <c r="TT3" s="66"/>
      <c r="TU3" s="66"/>
      <c r="TV3" s="66"/>
      <c r="TW3" s="66"/>
      <c r="TX3" s="66"/>
      <c r="TY3" s="66"/>
      <c r="TZ3" s="66"/>
      <c r="UA3" s="66"/>
      <c r="UB3" s="66"/>
      <c r="UC3" s="66"/>
      <c r="UD3" s="66"/>
      <c r="UE3" s="66"/>
      <c r="UF3" s="66"/>
      <c r="UG3" s="66"/>
      <c r="UH3" s="66"/>
      <c r="UI3" s="66"/>
      <c r="UJ3" s="66"/>
      <c r="UK3" s="66"/>
      <c r="UL3" s="66"/>
      <c r="UM3" s="66"/>
      <c r="UN3" s="66"/>
      <c r="UO3" s="66"/>
      <c r="UP3" s="66"/>
      <c r="UQ3" s="66"/>
      <c r="UR3" s="66"/>
      <c r="US3" s="66"/>
      <c r="UT3" s="66"/>
      <c r="UU3" s="66"/>
      <c r="UV3" s="66"/>
      <c r="UW3" s="66"/>
      <c r="UX3" s="66"/>
      <c r="UY3" s="66"/>
      <c r="UZ3" s="66"/>
      <c r="VA3" s="66"/>
      <c r="VB3" s="66"/>
      <c r="VC3" s="66"/>
      <c r="VD3" s="66"/>
      <c r="VE3" s="66"/>
      <c r="VF3" s="66"/>
      <c r="VG3" s="66"/>
      <c r="VH3" s="66"/>
      <c r="VI3" s="66"/>
      <c r="VJ3" s="66"/>
      <c r="VK3" s="66"/>
      <c r="VL3" s="66"/>
      <c r="VM3" s="66"/>
      <c r="VN3" s="66"/>
      <c r="VO3" s="66"/>
      <c r="VP3" s="66"/>
      <c r="VQ3" s="66"/>
      <c r="VR3" s="66"/>
      <c r="VS3" s="66"/>
      <c r="VT3" s="66"/>
      <c r="VU3" s="66"/>
      <c r="VV3" s="66"/>
      <c r="VW3" s="66"/>
      <c r="VX3" s="66"/>
      <c r="VY3" s="66"/>
      <c r="VZ3" s="66"/>
      <c r="WA3" s="66"/>
      <c r="WB3" s="66"/>
      <c r="WC3" s="66"/>
      <c r="WD3" s="66"/>
      <c r="WE3" s="66"/>
      <c r="WF3" s="66"/>
      <c r="WG3" s="66"/>
      <c r="WH3" s="66"/>
      <c r="WI3" s="66"/>
      <c r="WJ3" s="66"/>
      <c r="WK3" s="66"/>
      <c r="WL3" s="66"/>
      <c r="WM3" s="66"/>
      <c r="WN3" s="66"/>
      <c r="WO3" s="66"/>
      <c r="WP3" s="66"/>
      <c r="WQ3" s="66"/>
      <c r="WR3" s="66"/>
      <c r="WS3" s="66"/>
      <c r="WT3" s="66"/>
      <c r="WU3" s="66"/>
      <c r="WV3" s="66"/>
      <c r="WW3" s="66"/>
      <c r="WX3" s="66"/>
      <c r="WY3" s="66"/>
      <c r="WZ3" s="66"/>
      <c r="XA3" s="66"/>
      <c r="XB3" s="66"/>
      <c r="XC3" s="66"/>
      <c r="XD3" s="66"/>
      <c r="XE3" s="66"/>
      <c r="XF3" s="66"/>
      <c r="XG3" s="66"/>
      <c r="XH3" s="66"/>
      <c r="XI3" s="66"/>
      <c r="XJ3" s="66"/>
      <c r="XK3" s="66"/>
      <c r="XL3" s="66"/>
      <c r="XM3" s="66"/>
      <c r="XN3" s="66"/>
      <c r="XO3" s="66"/>
      <c r="XP3" s="66"/>
      <c r="XQ3" s="66"/>
      <c r="XR3" s="66"/>
      <c r="XS3" s="66"/>
      <c r="XT3" s="66"/>
      <c r="XU3" s="66"/>
      <c r="XV3" s="66"/>
      <c r="XW3" s="66"/>
      <c r="XX3" s="66"/>
      <c r="XY3" s="66"/>
      <c r="XZ3" s="66"/>
      <c r="YA3" s="66"/>
      <c r="YB3" s="66"/>
      <c r="YC3" s="66"/>
      <c r="YD3" s="66"/>
      <c r="YE3" s="66"/>
      <c r="YF3" s="66"/>
      <c r="YG3" s="66"/>
      <c r="YH3" s="66"/>
      <c r="YI3" s="66"/>
      <c r="YJ3" s="66"/>
      <c r="YK3" s="66"/>
      <c r="YL3" s="66"/>
      <c r="YM3" s="66"/>
      <c r="YN3" s="66"/>
      <c r="YO3" s="66"/>
      <c r="YP3" s="66"/>
      <c r="YQ3" s="66"/>
      <c r="YR3" s="66"/>
      <c r="YS3" s="66"/>
      <c r="YT3" s="66"/>
      <c r="YU3" s="66"/>
      <c r="YV3" s="66"/>
      <c r="YW3" s="66"/>
      <c r="YX3" s="66"/>
      <c r="YY3" s="66"/>
      <c r="YZ3" s="66"/>
      <c r="ZA3" s="66"/>
      <c r="ZB3" s="66"/>
      <c r="ZC3" s="66"/>
      <c r="ZD3" s="66"/>
      <c r="ZE3" s="66"/>
      <c r="ZF3" s="66"/>
      <c r="ZG3" s="66"/>
      <c r="ZH3" s="66"/>
      <c r="ZI3" s="66"/>
      <c r="ZJ3" s="66"/>
      <c r="ZK3" s="66"/>
      <c r="ZL3" s="66"/>
      <c r="ZM3" s="66"/>
      <c r="ZN3" s="66"/>
      <c r="ZO3" s="66"/>
      <c r="ZP3" s="66"/>
      <c r="ZQ3" s="66"/>
      <c r="ZR3" s="66"/>
      <c r="ZS3" s="66"/>
      <c r="ZT3" s="66"/>
      <c r="ZU3" s="66"/>
      <c r="ZV3" s="66"/>
      <c r="ZW3" s="66"/>
      <c r="ZX3" s="66"/>
      <c r="ZY3" s="66"/>
      <c r="ZZ3" s="66"/>
      <c r="AAA3" s="66"/>
      <c r="AAB3" s="66"/>
      <c r="AAC3" s="66"/>
      <c r="AAD3" s="66"/>
      <c r="AAE3" s="66"/>
      <c r="AAF3" s="66"/>
      <c r="AAG3" s="66"/>
      <c r="AAH3" s="66"/>
      <c r="AAI3" s="66"/>
      <c r="AAJ3" s="66"/>
      <c r="AAK3" s="66"/>
      <c r="AAL3" s="66"/>
      <c r="AAM3" s="66"/>
      <c r="AAN3" s="66"/>
      <c r="AAO3" s="66"/>
      <c r="AAP3" s="66"/>
      <c r="AAQ3" s="66"/>
      <c r="AAR3" s="66"/>
      <c r="AAS3" s="66"/>
      <c r="AAT3" s="66"/>
      <c r="AAU3" s="66"/>
      <c r="AAV3" s="66"/>
      <c r="AAW3" s="66"/>
      <c r="AAX3" s="66"/>
      <c r="AAY3" s="66"/>
      <c r="AAZ3" s="66"/>
      <c r="ABA3" s="66"/>
      <c r="ABB3" s="66"/>
      <c r="ABC3" s="66"/>
      <c r="ABD3" s="66"/>
      <c r="ABE3" s="66"/>
      <c r="ABF3" s="66"/>
      <c r="ABG3" s="66"/>
      <c r="ABH3" s="66"/>
      <c r="ABI3" s="66"/>
      <c r="ABJ3" s="66"/>
      <c r="ABK3" s="66"/>
      <c r="ABL3" s="66"/>
      <c r="ABM3" s="66"/>
      <c r="ABN3" s="66"/>
      <c r="ABO3" s="66"/>
      <c r="ABP3" s="66"/>
      <c r="ABQ3" s="66"/>
      <c r="ABR3" s="66"/>
      <c r="ABS3" s="66"/>
      <c r="ABT3" s="66"/>
      <c r="ABU3" s="66"/>
      <c r="ABV3" s="66"/>
      <c r="ABW3" s="66"/>
      <c r="ABX3" s="66"/>
      <c r="ABY3" s="66"/>
      <c r="ABZ3" s="66"/>
      <c r="ACA3" s="66"/>
      <c r="ACB3" s="66"/>
      <c r="ACC3" s="66"/>
      <c r="ACD3" s="66"/>
      <c r="ACE3" s="66"/>
      <c r="ACF3" s="66"/>
      <c r="ACG3" s="66"/>
      <c r="ACH3" s="66"/>
      <c r="ACI3" s="66"/>
      <c r="ACJ3" s="66"/>
      <c r="ACK3" s="66"/>
      <c r="ACL3" s="66"/>
      <c r="ACM3" s="66"/>
      <c r="ACN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CY3" s="66"/>
      <c r="ACZ3" s="66"/>
      <c r="ADA3" s="66"/>
      <c r="ADB3" s="66"/>
      <c r="ADC3" s="66"/>
      <c r="ADD3" s="66"/>
      <c r="ADE3" s="66"/>
      <c r="ADF3" s="66"/>
      <c r="ADG3" s="66"/>
      <c r="ADH3" s="66"/>
      <c r="ADI3" s="66"/>
      <c r="ADJ3" s="66"/>
      <c r="ADK3" s="66"/>
      <c r="ADL3" s="66"/>
      <c r="ADM3" s="66"/>
      <c r="ADN3" s="66"/>
      <c r="ADO3" s="66"/>
      <c r="ADP3" s="66"/>
      <c r="ADQ3" s="66"/>
      <c r="ADR3" s="66"/>
      <c r="ADS3" s="66"/>
      <c r="ADT3" s="66"/>
      <c r="ADU3" s="66"/>
      <c r="ADV3" s="66"/>
      <c r="ADW3" s="66"/>
      <c r="ADX3" s="66"/>
      <c r="ADY3" s="66"/>
      <c r="ADZ3" s="66"/>
      <c r="AEA3" s="66"/>
      <c r="AEB3" s="66"/>
      <c r="AEC3" s="66"/>
      <c r="AED3" s="66"/>
      <c r="AEE3" s="66"/>
      <c r="AEF3" s="66"/>
      <c r="AEG3" s="66"/>
      <c r="AEH3" s="66"/>
      <c r="AEI3" s="66"/>
      <c r="AEJ3" s="66"/>
      <c r="AEK3" s="66"/>
      <c r="AEL3" s="66"/>
      <c r="AEM3" s="66"/>
      <c r="AEN3" s="66"/>
      <c r="AEO3" s="66"/>
      <c r="AEP3" s="66"/>
      <c r="AEQ3" s="66"/>
      <c r="AER3" s="66"/>
      <c r="AES3" s="66"/>
      <c r="AET3" s="66"/>
      <c r="AEU3" s="66"/>
      <c r="AEV3" s="66"/>
      <c r="AEW3" s="66"/>
      <c r="AEX3" s="66"/>
      <c r="AEY3" s="66"/>
      <c r="AEZ3" s="66"/>
      <c r="AFA3" s="66"/>
      <c r="AFB3" s="66"/>
      <c r="AFC3" s="66"/>
      <c r="AFD3" s="66"/>
      <c r="AFE3" s="66"/>
      <c r="AFF3" s="66"/>
      <c r="AFG3" s="66"/>
      <c r="AFH3" s="66"/>
      <c r="AFI3" s="66"/>
      <c r="AFJ3" s="66"/>
      <c r="AFK3" s="66"/>
      <c r="AFL3" s="66"/>
      <c r="AFM3" s="66"/>
      <c r="AFN3" s="66"/>
      <c r="AFO3" s="66"/>
      <c r="AFP3" s="66"/>
      <c r="AFQ3" s="66"/>
      <c r="AFR3" s="66"/>
      <c r="AFS3" s="66"/>
      <c r="AFT3" s="66"/>
      <c r="AFU3" s="66"/>
      <c r="AFV3" s="66"/>
      <c r="AFW3" s="66"/>
      <c r="AFX3" s="66"/>
      <c r="AFY3" s="66"/>
      <c r="AFZ3" s="66"/>
      <c r="AGA3" s="66"/>
      <c r="AGB3" s="66"/>
      <c r="AGC3" s="66"/>
      <c r="AGD3" s="66"/>
      <c r="AGE3" s="66"/>
      <c r="AGF3" s="66"/>
      <c r="AGG3" s="66"/>
      <c r="AGH3" s="66"/>
      <c r="AGI3" s="66"/>
      <c r="AGJ3" s="66"/>
      <c r="AGK3" s="66"/>
      <c r="AGL3" s="66"/>
      <c r="AGM3" s="66"/>
      <c r="AGN3" s="66"/>
      <c r="AGO3" s="66"/>
      <c r="AGP3" s="66"/>
      <c r="AGQ3" s="66"/>
      <c r="AGR3" s="66"/>
      <c r="AGS3" s="66"/>
      <c r="AGT3" s="66"/>
      <c r="AGU3" s="66"/>
      <c r="AGV3" s="66"/>
      <c r="AGW3" s="66"/>
      <c r="AGX3" s="66"/>
      <c r="AGY3" s="66"/>
      <c r="AGZ3" s="66"/>
      <c r="AHA3" s="66"/>
      <c r="AHB3" s="66"/>
      <c r="AHC3" s="66"/>
      <c r="AHD3" s="66"/>
      <c r="AHE3" s="66"/>
      <c r="AHF3" s="66"/>
      <c r="AHG3" s="66"/>
      <c r="AHH3" s="66"/>
      <c r="AHI3" s="66"/>
      <c r="AHJ3" s="66"/>
      <c r="AHK3" s="66"/>
      <c r="AHL3" s="66"/>
      <c r="AHM3" s="66"/>
      <c r="AHN3" s="66"/>
      <c r="AHO3" s="66"/>
      <c r="AHP3" s="66"/>
      <c r="AHQ3" s="66"/>
      <c r="AHR3" s="66"/>
      <c r="AHS3" s="66"/>
      <c r="AHT3" s="66"/>
      <c r="AHU3" s="66"/>
      <c r="AHV3" s="66"/>
      <c r="AHW3" s="66"/>
      <c r="AHX3" s="66"/>
      <c r="AHY3" s="66"/>
      <c r="AHZ3" s="66"/>
      <c r="AIA3" s="66"/>
      <c r="AIB3" s="66"/>
      <c r="AIC3" s="66"/>
      <c r="AID3" s="66"/>
      <c r="AIE3" s="66"/>
      <c r="AIF3" s="66"/>
      <c r="AIG3" s="66"/>
      <c r="AIH3" s="66"/>
      <c r="AII3" s="66"/>
      <c r="AIJ3" s="66"/>
      <c r="AIK3" s="66"/>
      <c r="AIL3" s="66"/>
      <c r="AIM3" s="66"/>
      <c r="AIN3" s="66"/>
      <c r="AIO3" s="66"/>
      <c r="AIP3" s="66"/>
      <c r="AIQ3" s="66"/>
      <c r="AIR3" s="66"/>
      <c r="AIS3" s="66"/>
      <c r="AIT3" s="66"/>
      <c r="AIU3" s="66"/>
      <c r="AIV3" s="66"/>
      <c r="AIW3" s="66"/>
      <c r="AIX3" s="66"/>
      <c r="AIY3" s="66"/>
      <c r="AIZ3" s="66"/>
      <c r="AJA3" s="66"/>
      <c r="AJB3" s="66"/>
      <c r="AJC3" s="66"/>
      <c r="AJD3" s="66"/>
      <c r="AJE3" s="66"/>
      <c r="AJF3" s="66"/>
      <c r="AJG3" s="66"/>
      <c r="AJH3" s="66"/>
      <c r="AJI3" s="66"/>
      <c r="AJJ3" s="66"/>
      <c r="AJK3" s="66"/>
      <c r="AJL3" s="66"/>
      <c r="AJM3" s="66"/>
      <c r="AJN3" s="66"/>
      <c r="AJO3" s="66"/>
      <c r="AJP3" s="66"/>
      <c r="AJQ3" s="66"/>
      <c r="AJR3" s="66"/>
      <c r="AJS3" s="66"/>
      <c r="AJT3" s="66"/>
      <c r="AJU3" s="66"/>
      <c r="AJV3" s="66"/>
      <c r="AJW3" s="66"/>
      <c r="AJX3" s="66"/>
      <c r="AJY3" s="66"/>
      <c r="AJZ3" s="66"/>
      <c r="AKA3" s="66"/>
      <c r="AKB3" s="66"/>
      <c r="AKC3" s="66"/>
      <c r="AKD3" s="66"/>
      <c r="AKE3" s="66"/>
      <c r="AKF3" s="66"/>
      <c r="AKG3" s="66"/>
      <c r="AKH3" s="66"/>
      <c r="AKI3" s="66"/>
      <c r="AKJ3" s="66"/>
      <c r="AKK3" s="66"/>
      <c r="AKL3" s="66"/>
      <c r="AKM3" s="66"/>
      <c r="AKN3" s="66"/>
      <c r="AKO3" s="66"/>
      <c r="AKP3" s="66"/>
      <c r="AKQ3" s="66"/>
      <c r="AKR3" s="66"/>
      <c r="AKS3" s="66"/>
      <c r="AKT3" s="66"/>
      <c r="AKU3" s="66"/>
      <c r="AKV3" s="66"/>
      <c r="AKW3" s="66"/>
      <c r="AKX3" s="66"/>
      <c r="AKY3" s="66"/>
      <c r="AKZ3" s="66"/>
      <c r="ALA3" s="66"/>
      <c r="ALB3" s="66"/>
      <c r="ALC3" s="66"/>
      <c r="ALD3" s="66"/>
      <c r="ALE3" s="66"/>
      <c r="ALF3" s="66"/>
      <c r="ALG3" s="66"/>
      <c r="ALH3" s="66"/>
      <c r="ALI3" s="66"/>
      <c r="ALJ3" s="66"/>
      <c r="ALK3" s="66"/>
      <c r="ALL3" s="66"/>
      <c r="ALM3" s="66"/>
      <c r="ALN3" s="66"/>
      <c r="ALO3" s="66"/>
      <c r="ALP3" s="66"/>
      <c r="ALQ3" s="66"/>
      <c r="ALR3" s="66"/>
      <c r="ALS3" s="66"/>
      <c r="ALT3" s="66"/>
      <c r="ALU3" s="66"/>
      <c r="ALV3" s="66"/>
      <c r="ALW3" s="66"/>
      <c r="ALX3" s="66"/>
      <c r="ALY3" s="66"/>
      <c r="ALZ3" s="66"/>
      <c r="AMA3" s="66"/>
      <c r="AMB3" s="66"/>
      <c r="AMC3" s="66"/>
      <c r="AMD3" s="66"/>
      <c r="AME3" s="66"/>
      <c r="AMF3" s="66"/>
      <c r="AMG3" s="66"/>
      <c r="AMH3" s="66"/>
      <c r="AMI3" s="66"/>
      <c r="AMJ3" s="66"/>
    </row>
    <row r="4" spans="1:1024" x14ac:dyDescent="0.25">
      <c r="A4" s="103" t="str">
        <f>IF($D$1&lt;&gt;"",1,"")</f>
        <v/>
      </c>
      <c r="B4" s="104" t="str">
        <f ca="1">IF(Kielivalinta="Suomi","Omaksu seuraavat käsitteet:
a) Aloitustaulu = Tämä taulu, jota luet ["&amp;MID(CELL("filename",B4),FIND("]",CELL("filename",F2))+1,255)&amp;"]
b) Arvotauluja ovat: 1. ["&amp;Data!B1&amp;"], johon tiedot liitetään, 2. ["&amp;Ristiintaul_Korstabulering!B1&amp;"], tietojen tarkistustalulu, jossa suoritetaan kevyt ristiintaulukointi sekä 3. ["&amp;Grafiikka_Grafik!D1&amp;"], jossa näet kahden vuoden vartailevan sekä uusimman tilastointivuoden grafiikan.",IF(Kielivalinta="Svenska","Tillägna dig följande begrepp:
a) Starttabell = denna tabell du läser ["&amp;MID(CELL("filename",B4),FIND("]",CELL("filename",F2))+1,255)&amp;"]
b) Värdetabeller: 1. ["&amp;Data!B1&amp;"], tabellen att klistra data i, 2. ["&amp;Ristiintaul_Korstabulering!B1&amp;"], datavalideringstabell , där utförs lätt korstabulering och 3. ["&amp;Grafiikka_Grafik!D1&amp;"] med jämförande grafik för två åren samt graferna för det senaste statistikåret.",""))</f>
        <v/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</row>
    <row r="5" spans="1:1024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62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6"/>
      <c r="RI5" s="66"/>
      <c r="RJ5" s="66"/>
      <c r="RK5" s="66"/>
      <c r="RL5" s="66"/>
      <c r="RM5" s="66"/>
      <c r="RN5" s="66"/>
      <c r="RO5" s="66"/>
      <c r="RP5" s="66"/>
      <c r="RQ5" s="66"/>
      <c r="RR5" s="66"/>
      <c r="RS5" s="66"/>
      <c r="RT5" s="66"/>
      <c r="RU5" s="66"/>
      <c r="RV5" s="66"/>
      <c r="RW5" s="66"/>
      <c r="RX5" s="66"/>
      <c r="RY5" s="66"/>
      <c r="RZ5" s="66"/>
      <c r="SA5" s="66"/>
      <c r="SB5" s="66"/>
      <c r="SC5" s="66"/>
      <c r="SD5" s="66"/>
      <c r="SE5" s="66"/>
      <c r="SF5" s="66"/>
      <c r="SG5" s="66"/>
      <c r="SH5" s="66"/>
      <c r="SI5" s="66"/>
      <c r="SJ5" s="66"/>
      <c r="SK5" s="66"/>
      <c r="SL5" s="66"/>
      <c r="SM5" s="66"/>
      <c r="SN5" s="66"/>
      <c r="SO5" s="66"/>
      <c r="SP5" s="66"/>
      <c r="SQ5" s="66"/>
      <c r="SR5" s="66"/>
      <c r="SS5" s="66"/>
      <c r="ST5" s="66"/>
      <c r="SU5" s="66"/>
      <c r="SV5" s="66"/>
      <c r="SW5" s="66"/>
      <c r="SX5" s="66"/>
      <c r="SY5" s="66"/>
      <c r="SZ5" s="66"/>
      <c r="TA5" s="66"/>
      <c r="TB5" s="66"/>
      <c r="TC5" s="66"/>
      <c r="TD5" s="66"/>
      <c r="TE5" s="66"/>
      <c r="TF5" s="66"/>
      <c r="TG5" s="66"/>
      <c r="TH5" s="66"/>
      <c r="TI5" s="66"/>
      <c r="TJ5" s="66"/>
      <c r="TK5" s="66"/>
      <c r="TL5" s="66"/>
      <c r="TM5" s="66"/>
      <c r="TN5" s="66"/>
      <c r="TO5" s="66"/>
      <c r="TP5" s="66"/>
      <c r="TQ5" s="66"/>
      <c r="TR5" s="66"/>
      <c r="TS5" s="66"/>
      <c r="TT5" s="66"/>
      <c r="TU5" s="66"/>
      <c r="TV5" s="66"/>
      <c r="TW5" s="66"/>
      <c r="TX5" s="66"/>
      <c r="TY5" s="66"/>
      <c r="TZ5" s="66"/>
      <c r="UA5" s="66"/>
      <c r="UB5" s="66"/>
      <c r="UC5" s="66"/>
      <c r="UD5" s="66"/>
      <c r="UE5" s="66"/>
      <c r="UF5" s="66"/>
      <c r="UG5" s="66"/>
      <c r="UH5" s="66"/>
      <c r="UI5" s="66"/>
      <c r="UJ5" s="66"/>
      <c r="UK5" s="66"/>
      <c r="UL5" s="66"/>
      <c r="UM5" s="66"/>
      <c r="UN5" s="66"/>
      <c r="UO5" s="66"/>
      <c r="UP5" s="66"/>
      <c r="UQ5" s="66"/>
      <c r="UR5" s="66"/>
      <c r="US5" s="66"/>
      <c r="UT5" s="66"/>
      <c r="UU5" s="66"/>
      <c r="UV5" s="66"/>
      <c r="UW5" s="66"/>
      <c r="UX5" s="66"/>
      <c r="UY5" s="66"/>
      <c r="UZ5" s="66"/>
      <c r="VA5" s="66"/>
      <c r="VB5" s="66"/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6"/>
      <c r="XW5" s="66"/>
      <c r="XX5" s="66"/>
      <c r="XY5" s="66"/>
      <c r="XZ5" s="66"/>
      <c r="YA5" s="66"/>
      <c r="YB5" s="66"/>
      <c r="YC5" s="66"/>
      <c r="YD5" s="66"/>
      <c r="YE5" s="66"/>
      <c r="YF5" s="66"/>
      <c r="YG5" s="66"/>
      <c r="YH5" s="66"/>
      <c r="YI5" s="66"/>
      <c r="YJ5" s="66"/>
      <c r="YK5" s="66"/>
      <c r="YL5" s="66"/>
      <c r="YM5" s="66"/>
      <c r="YN5" s="66"/>
      <c r="YO5" s="66"/>
      <c r="YP5" s="66"/>
      <c r="YQ5" s="66"/>
      <c r="YR5" s="66"/>
      <c r="YS5" s="66"/>
      <c r="YT5" s="66"/>
      <c r="YU5" s="66"/>
      <c r="YV5" s="66"/>
      <c r="YW5" s="66"/>
      <c r="YX5" s="66"/>
      <c r="YY5" s="66"/>
      <c r="YZ5" s="66"/>
      <c r="ZA5" s="66"/>
      <c r="ZB5" s="66"/>
      <c r="ZC5" s="66"/>
      <c r="ZD5" s="66"/>
      <c r="ZE5" s="66"/>
      <c r="ZF5" s="66"/>
      <c r="ZG5" s="66"/>
      <c r="ZH5" s="66"/>
      <c r="ZI5" s="66"/>
      <c r="ZJ5" s="66"/>
      <c r="ZK5" s="66"/>
      <c r="ZL5" s="66"/>
      <c r="ZM5" s="66"/>
      <c r="ZN5" s="66"/>
      <c r="ZO5" s="66"/>
      <c r="ZP5" s="66"/>
      <c r="ZQ5" s="66"/>
      <c r="ZR5" s="66"/>
      <c r="ZS5" s="66"/>
      <c r="ZT5" s="66"/>
      <c r="ZU5" s="66"/>
      <c r="ZV5" s="66"/>
      <c r="ZW5" s="66"/>
      <c r="ZX5" s="66"/>
      <c r="ZY5" s="66"/>
      <c r="ZZ5" s="66"/>
      <c r="AAA5" s="66"/>
      <c r="AAB5" s="66"/>
      <c r="AAC5" s="66"/>
      <c r="AAD5" s="66"/>
      <c r="AAE5" s="66"/>
      <c r="AAF5" s="66"/>
      <c r="AAG5" s="66"/>
      <c r="AAH5" s="66"/>
      <c r="AAI5" s="66"/>
      <c r="AAJ5" s="66"/>
      <c r="AAK5" s="66"/>
      <c r="AAL5" s="66"/>
      <c r="AAM5" s="66"/>
      <c r="AAN5" s="66"/>
      <c r="AAO5" s="66"/>
      <c r="AAP5" s="66"/>
      <c r="AAQ5" s="66"/>
      <c r="AAR5" s="66"/>
      <c r="AAS5" s="66"/>
      <c r="AAT5" s="66"/>
      <c r="AAU5" s="66"/>
      <c r="AAV5" s="66"/>
      <c r="AAW5" s="66"/>
      <c r="AAX5" s="66"/>
      <c r="AAY5" s="66"/>
      <c r="AAZ5" s="66"/>
      <c r="ABA5" s="66"/>
      <c r="ABB5" s="66"/>
      <c r="ABC5" s="66"/>
      <c r="ABD5" s="66"/>
      <c r="ABE5" s="66"/>
      <c r="ABF5" s="66"/>
      <c r="ABG5" s="66"/>
      <c r="ABH5" s="66"/>
      <c r="ABI5" s="66"/>
      <c r="ABJ5" s="66"/>
      <c r="ABK5" s="66"/>
      <c r="ABL5" s="66"/>
      <c r="ABM5" s="66"/>
      <c r="ABN5" s="66"/>
      <c r="ABO5" s="66"/>
      <c r="ABP5" s="66"/>
      <c r="ABQ5" s="66"/>
      <c r="ABR5" s="66"/>
      <c r="ABS5" s="66"/>
      <c r="ABT5" s="66"/>
      <c r="ABU5" s="66"/>
      <c r="ABV5" s="66"/>
      <c r="ABW5" s="66"/>
      <c r="ABX5" s="66"/>
      <c r="ABY5" s="66"/>
      <c r="ABZ5" s="66"/>
      <c r="ACA5" s="66"/>
      <c r="ACB5" s="66"/>
      <c r="ACC5" s="66"/>
      <c r="ACD5" s="66"/>
      <c r="ACE5" s="66"/>
      <c r="ACF5" s="66"/>
      <c r="ACG5" s="66"/>
      <c r="ACH5" s="66"/>
      <c r="ACI5" s="66"/>
      <c r="ACJ5" s="66"/>
      <c r="ACK5" s="66"/>
      <c r="ACL5" s="66"/>
      <c r="ACM5" s="66"/>
      <c r="ACN5" s="66"/>
      <c r="ACO5" s="66"/>
      <c r="ACP5" s="66"/>
      <c r="ACQ5" s="66"/>
      <c r="ACR5" s="66"/>
      <c r="ACS5" s="66"/>
      <c r="ACT5" s="66"/>
      <c r="ACU5" s="66"/>
      <c r="ACV5" s="66"/>
      <c r="ACW5" s="66"/>
      <c r="ACX5" s="66"/>
      <c r="ACY5" s="66"/>
      <c r="ACZ5" s="66"/>
      <c r="ADA5" s="66"/>
      <c r="ADB5" s="66"/>
      <c r="ADC5" s="66"/>
      <c r="ADD5" s="66"/>
      <c r="ADE5" s="66"/>
      <c r="ADF5" s="66"/>
      <c r="ADG5" s="66"/>
      <c r="ADH5" s="66"/>
      <c r="ADI5" s="66"/>
      <c r="ADJ5" s="66"/>
      <c r="ADK5" s="66"/>
      <c r="ADL5" s="66"/>
      <c r="ADM5" s="66"/>
      <c r="ADN5" s="66"/>
      <c r="ADO5" s="66"/>
      <c r="ADP5" s="66"/>
      <c r="ADQ5" s="66"/>
      <c r="ADR5" s="66"/>
      <c r="ADS5" s="66"/>
      <c r="ADT5" s="66"/>
      <c r="ADU5" s="66"/>
      <c r="ADV5" s="66"/>
      <c r="ADW5" s="66"/>
      <c r="ADX5" s="66"/>
      <c r="ADY5" s="66"/>
      <c r="ADZ5" s="66"/>
      <c r="AEA5" s="66"/>
      <c r="AEB5" s="66"/>
      <c r="AEC5" s="66"/>
      <c r="AED5" s="66"/>
      <c r="AEE5" s="66"/>
      <c r="AEF5" s="66"/>
      <c r="AEG5" s="66"/>
      <c r="AEH5" s="66"/>
      <c r="AEI5" s="66"/>
      <c r="AEJ5" s="66"/>
      <c r="AEK5" s="66"/>
      <c r="AEL5" s="66"/>
      <c r="AEM5" s="66"/>
      <c r="AEN5" s="66"/>
      <c r="AEO5" s="66"/>
      <c r="AEP5" s="66"/>
      <c r="AEQ5" s="66"/>
      <c r="AER5" s="66"/>
      <c r="AES5" s="66"/>
      <c r="AET5" s="66"/>
      <c r="AEU5" s="66"/>
      <c r="AEV5" s="66"/>
      <c r="AEW5" s="66"/>
      <c r="AEX5" s="66"/>
      <c r="AEY5" s="66"/>
      <c r="AEZ5" s="66"/>
      <c r="AFA5" s="66"/>
      <c r="AFB5" s="66"/>
      <c r="AFC5" s="66"/>
      <c r="AFD5" s="66"/>
      <c r="AFE5" s="66"/>
      <c r="AFF5" s="66"/>
      <c r="AFG5" s="66"/>
      <c r="AFH5" s="66"/>
      <c r="AFI5" s="66"/>
      <c r="AFJ5" s="66"/>
      <c r="AFK5" s="66"/>
      <c r="AFL5" s="66"/>
      <c r="AFM5" s="66"/>
      <c r="AFN5" s="66"/>
      <c r="AFO5" s="66"/>
      <c r="AFP5" s="66"/>
      <c r="AFQ5" s="66"/>
      <c r="AFR5" s="66"/>
      <c r="AFS5" s="66"/>
      <c r="AFT5" s="66"/>
      <c r="AFU5" s="66"/>
      <c r="AFV5" s="66"/>
      <c r="AFW5" s="66"/>
      <c r="AFX5" s="66"/>
      <c r="AFY5" s="66"/>
      <c r="AFZ5" s="66"/>
      <c r="AGA5" s="66"/>
      <c r="AGB5" s="66"/>
      <c r="AGC5" s="66"/>
      <c r="AGD5" s="66"/>
      <c r="AGE5" s="66"/>
      <c r="AGF5" s="66"/>
      <c r="AGG5" s="66"/>
      <c r="AGH5" s="66"/>
      <c r="AGI5" s="66"/>
      <c r="AGJ5" s="66"/>
      <c r="AGK5" s="66"/>
      <c r="AGL5" s="66"/>
      <c r="AGM5" s="66"/>
      <c r="AGN5" s="66"/>
      <c r="AGO5" s="66"/>
      <c r="AGP5" s="66"/>
      <c r="AGQ5" s="66"/>
      <c r="AGR5" s="66"/>
      <c r="AGS5" s="66"/>
      <c r="AGT5" s="66"/>
      <c r="AGU5" s="66"/>
      <c r="AGV5" s="66"/>
      <c r="AGW5" s="66"/>
      <c r="AGX5" s="66"/>
      <c r="AGY5" s="66"/>
      <c r="AGZ5" s="66"/>
      <c r="AHA5" s="66"/>
      <c r="AHB5" s="66"/>
      <c r="AHC5" s="66"/>
      <c r="AHD5" s="66"/>
      <c r="AHE5" s="66"/>
      <c r="AHF5" s="66"/>
      <c r="AHG5" s="66"/>
      <c r="AHH5" s="66"/>
      <c r="AHI5" s="66"/>
      <c r="AHJ5" s="66"/>
      <c r="AHK5" s="66"/>
      <c r="AHL5" s="66"/>
      <c r="AHM5" s="66"/>
      <c r="AHN5" s="66"/>
      <c r="AHO5" s="66"/>
      <c r="AHP5" s="66"/>
      <c r="AHQ5" s="66"/>
      <c r="AHR5" s="66"/>
      <c r="AHS5" s="66"/>
      <c r="AHT5" s="66"/>
      <c r="AHU5" s="66"/>
      <c r="AHV5" s="66"/>
      <c r="AHW5" s="66"/>
      <c r="AHX5" s="66"/>
      <c r="AHY5" s="66"/>
      <c r="AHZ5" s="66"/>
      <c r="AIA5" s="66"/>
      <c r="AIB5" s="66"/>
      <c r="AIC5" s="66"/>
      <c r="AID5" s="66"/>
      <c r="AIE5" s="66"/>
      <c r="AIF5" s="66"/>
      <c r="AIG5" s="66"/>
      <c r="AIH5" s="66"/>
      <c r="AII5" s="66"/>
      <c r="AIJ5" s="66"/>
      <c r="AIK5" s="66"/>
      <c r="AIL5" s="66"/>
      <c r="AIM5" s="66"/>
      <c r="AIN5" s="66"/>
      <c r="AIO5" s="66"/>
      <c r="AIP5" s="66"/>
      <c r="AIQ5" s="66"/>
      <c r="AIR5" s="66"/>
      <c r="AIS5" s="66"/>
      <c r="AIT5" s="66"/>
      <c r="AIU5" s="66"/>
      <c r="AIV5" s="66"/>
      <c r="AIW5" s="66"/>
      <c r="AIX5" s="66"/>
      <c r="AIY5" s="66"/>
      <c r="AIZ5" s="66"/>
      <c r="AJA5" s="66"/>
      <c r="AJB5" s="66"/>
      <c r="AJC5" s="66"/>
      <c r="AJD5" s="66"/>
      <c r="AJE5" s="66"/>
      <c r="AJF5" s="66"/>
      <c r="AJG5" s="66"/>
      <c r="AJH5" s="66"/>
      <c r="AJI5" s="66"/>
      <c r="AJJ5" s="66"/>
      <c r="AJK5" s="66"/>
      <c r="AJL5" s="66"/>
      <c r="AJM5" s="66"/>
      <c r="AJN5" s="66"/>
      <c r="AJO5" s="66"/>
      <c r="AJP5" s="66"/>
      <c r="AJQ5" s="66"/>
      <c r="AJR5" s="66"/>
      <c r="AJS5" s="66"/>
      <c r="AJT5" s="66"/>
      <c r="AJU5" s="66"/>
      <c r="AJV5" s="66"/>
      <c r="AJW5" s="66"/>
      <c r="AJX5" s="66"/>
      <c r="AJY5" s="66"/>
      <c r="AJZ5" s="66"/>
      <c r="AKA5" s="66"/>
      <c r="AKB5" s="66"/>
      <c r="AKC5" s="66"/>
      <c r="AKD5" s="66"/>
      <c r="AKE5" s="66"/>
      <c r="AKF5" s="66"/>
      <c r="AKG5" s="66"/>
      <c r="AKH5" s="66"/>
      <c r="AKI5" s="66"/>
      <c r="AKJ5" s="66"/>
      <c r="AKK5" s="66"/>
      <c r="AKL5" s="66"/>
      <c r="AKM5" s="66"/>
      <c r="AKN5" s="66"/>
      <c r="AKO5" s="66"/>
      <c r="AKP5" s="66"/>
      <c r="AKQ5" s="66"/>
      <c r="AKR5" s="66"/>
      <c r="AKS5" s="66"/>
      <c r="AKT5" s="66"/>
      <c r="AKU5" s="66"/>
      <c r="AKV5" s="66"/>
      <c r="AKW5" s="66"/>
      <c r="AKX5" s="66"/>
      <c r="AKY5" s="66"/>
      <c r="AKZ5" s="66"/>
      <c r="ALA5" s="66"/>
      <c r="ALB5" s="66"/>
      <c r="ALC5" s="66"/>
      <c r="ALD5" s="66"/>
      <c r="ALE5" s="66"/>
      <c r="ALF5" s="66"/>
      <c r="ALG5" s="66"/>
      <c r="ALH5" s="66"/>
      <c r="ALI5" s="66"/>
      <c r="ALJ5" s="66"/>
      <c r="ALK5" s="66"/>
      <c r="ALL5" s="66"/>
      <c r="ALM5" s="66"/>
      <c r="ALN5" s="66"/>
      <c r="ALO5" s="66"/>
      <c r="ALP5" s="66"/>
      <c r="ALQ5" s="66"/>
      <c r="ALR5" s="66"/>
      <c r="ALS5" s="66"/>
      <c r="ALT5" s="66"/>
      <c r="ALU5" s="66"/>
      <c r="ALV5" s="66"/>
      <c r="ALW5" s="66"/>
      <c r="ALX5" s="66"/>
      <c r="ALY5" s="66"/>
      <c r="ALZ5" s="66"/>
      <c r="AMA5" s="66"/>
      <c r="AMB5" s="66"/>
      <c r="AMC5" s="66"/>
      <c r="AMD5" s="66"/>
      <c r="AME5" s="66"/>
      <c r="AMF5" s="66"/>
      <c r="AMG5" s="66"/>
      <c r="AMH5" s="66"/>
      <c r="AMI5" s="66"/>
      <c r="AMJ5" s="66"/>
    </row>
    <row r="6" spans="1:1024" x14ac:dyDescent="0.25">
      <c r="A6" s="8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62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6"/>
      <c r="OK6" s="66"/>
      <c r="OL6" s="66"/>
      <c r="OM6" s="66"/>
      <c r="ON6" s="66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6"/>
      <c r="PA6" s="66"/>
      <c r="PB6" s="66"/>
      <c r="PC6" s="66"/>
      <c r="PD6" s="66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6"/>
      <c r="PQ6" s="66"/>
      <c r="PR6" s="66"/>
      <c r="PS6" s="66"/>
      <c r="PT6" s="66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6"/>
      <c r="QG6" s="66"/>
      <c r="QH6" s="66"/>
      <c r="QI6" s="66"/>
      <c r="QJ6" s="66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6"/>
      <c r="QW6" s="66"/>
      <c r="QX6" s="66"/>
      <c r="QY6" s="66"/>
      <c r="QZ6" s="66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6"/>
      <c r="RM6" s="66"/>
      <c r="RN6" s="66"/>
      <c r="RO6" s="66"/>
      <c r="RP6" s="66"/>
      <c r="RQ6" s="66"/>
      <c r="RR6" s="66"/>
      <c r="RS6" s="66"/>
      <c r="RT6" s="66"/>
      <c r="RU6" s="66"/>
      <c r="RV6" s="66"/>
      <c r="RW6" s="66"/>
      <c r="RX6" s="66"/>
      <c r="RY6" s="66"/>
      <c r="RZ6" s="66"/>
      <c r="SA6" s="66"/>
      <c r="SB6" s="66"/>
      <c r="SC6" s="66"/>
      <c r="SD6" s="66"/>
      <c r="SE6" s="66"/>
      <c r="SF6" s="66"/>
      <c r="SG6" s="66"/>
      <c r="SH6" s="66"/>
      <c r="SI6" s="66"/>
      <c r="SJ6" s="66"/>
      <c r="SK6" s="66"/>
      <c r="SL6" s="66"/>
      <c r="SM6" s="66"/>
      <c r="SN6" s="66"/>
      <c r="SO6" s="66"/>
      <c r="SP6" s="66"/>
      <c r="SQ6" s="66"/>
      <c r="SR6" s="66"/>
      <c r="SS6" s="66"/>
      <c r="ST6" s="66"/>
      <c r="SU6" s="66"/>
      <c r="SV6" s="66"/>
      <c r="SW6" s="66"/>
      <c r="SX6" s="66"/>
      <c r="SY6" s="66"/>
      <c r="SZ6" s="66"/>
      <c r="TA6" s="66"/>
      <c r="TB6" s="66"/>
      <c r="TC6" s="66"/>
      <c r="TD6" s="66"/>
      <c r="TE6" s="66"/>
      <c r="TF6" s="66"/>
      <c r="TG6" s="66"/>
      <c r="TH6" s="66"/>
      <c r="TI6" s="66"/>
      <c r="TJ6" s="66"/>
      <c r="TK6" s="66"/>
      <c r="TL6" s="66"/>
      <c r="TM6" s="66"/>
      <c r="TN6" s="66"/>
      <c r="TO6" s="66"/>
      <c r="TP6" s="66"/>
      <c r="TQ6" s="66"/>
      <c r="TR6" s="66"/>
      <c r="TS6" s="66"/>
      <c r="TT6" s="66"/>
      <c r="TU6" s="66"/>
      <c r="TV6" s="66"/>
      <c r="TW6" s="66"/>
      <c r="TX6" s="66"/>
      <c r="TY6" s="66"/>
      <c r="TZ6" s="66"/>
      <c r="UA6" s="66"/>
      <c r="UB6" s="66"/>
      <c r="UC6" s="66"/>
      <c r="UD6" s="66"/>
      <c r="UE6" s="66"/>
      <c r="UF6" s="66"/>
      <c r="UG6" s="66"/>
      <c r="UH6" s="66"/>
      <c r="UI6" s="66"/>
      <c r="UJ6" s="66"/>
      <c r="UK6" s="66"/>
      <c r="UL6" s="66"/>
      <c r="UM6" s="66"/>
      <c r="UN6" s="66"/>
      <c r="UO6" s="66"/>
      <c r="UP6" s="66"/>
      <c r="UQ6" s="66"/>
      <c r="UR6" s="66"/>
      <c r="US6" s="66"/>
      <c r="UT6" s="66"/>
      <c r="UU6" s="66"/>
      <c r="UV6" s="66"/>
      <c r="UW6" s="66"/>
      <c r="UX6" s="66"/>
      <c r="UY6" s="66"/>
      <c r="UZ6" s="66"/>
      <c r="VA6" s="66"/>
      <c r="VB6" s="66"/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6"/>
      <c r="XW6" s="66"/>
      <c r="XX6" s="66"/>
      <c r="XY6" s="66"/>
      <c r="XZ6" s="66"/>
      <c r="YA6" s="66"/>
      <c r="YB6" s="66"/>
      <c r="YC6" s="66"/>
      <c r="YD6" s="66"/>
      <c r="YE6" s="66"/>
      <c r="YF6" s="66"/>
      <c r="YG6" s="66"/>
      <c r="YH6" s="66"/>
      <c r="YI6" s="66"/>
      <c r="YJ6" s="66"/>
      <c r="YK6" s="66"/>
      <c r="YL6" s="66"/>
      <c r="YM6" s="66"/>
      <c r="YN6" s="66"/>
      <c r="YO6" s="66"/>
      <c r="YP6" s="66"/>
      <c r="YQ6" s="66"/>
      <c r="YR6" s="66"/>
      <c r="YS6" s="66"/>
      <c r="YT6" s="66"/>
      <c r="YU6" s="66"/>
      <c r="YV6" s="66"/>
      <c r="YW6" s="66"/>
      <c r="YX6" s="66"/>
      <c r="YY6" s="66"/>
      <c r="YZ6" s="66"/>
      <c r="ZA6" s="66"/>
      <c r="ZB6" s="66"/>
      <c r="ZC6" s="66"/>
      <c r="ZD6" s="66"/>
      <c r="ZE6" s="66"/>
      <c r="ZF6" s="66"/>
      <c r="ZG6" s="66"/>
      <c r="ZH6" s="66"/>
      <c r="ZI6" s="66"/>
      <c r="ZJ6" s="66"/>
      <c r="ZK6" s="66"/>
      <c r="ZL6" s="66"/>
      <c r="ZM6" s="66"/>
      <c r="ZN6" s="66"/>
      <c r="ZO6" s="66"/>
      <c r="ZP6" s="66"/>
      <c r="ZQ6" s="66"/>
      <c r="ZR6" s="66"/>
      <c r="ZS6" s="66"/>
      <c r="ZT6" s="66"/>
      <c r="ZU6" s="66"/>
      <c r="ZV6" s="66"/>
      <c r="ZW6" s="66"/>
      <c r="ZX6" s="66"/>
      <c r="ZY6" s="66"/>
      <c r="ZZ6" s="66"/>
      <c r="AAA6" s="66"/>
      <c r="AAB6" s="66"/>
      <c r="AAC6" s="66"/>
      <c r="AAD6" s="66"/>
      <c r="AAE6" s="66"/>
      <c r="AAF6" s="66"/>
      <c r="AAG6" s="66"/>
      <c r="AAH6" s="66"/>
      <c r="AAI6" s="66"/>
      <c r="AAJ6" s="66"/>
      <c r="AAK6" s="66"/>
      <c r="AAL6" s="66"/>
      <c r="AAM6" s="66"/>
      <c r="AAN6" s="66"/>
      <c r="AAO6" s="66"/>
      <c r="AAP6" s="66"/>
      <c r="AAQ6" s="66"/>
      <c r="AAR6" s="66"/>
      <c r="AAS6" s="66"/>
      <c r="AAT6" s="66"/>
      <c r="AAU6" s="66"/>
      <c r="AAV6" s="66"/>
      <c r="AAW6" s="66"/>
      <c r="AAX6" s="66"/>
      <c r="AAY6" s="66"/>
      <c r="AAZ6" s="66"/>
      <c r="ABA6" s="66"/>
      <c r="ABB6" s="66"/>
      <c r="ABC6" s="66"/>
      <c r="ABD6" s="66"/>
      <c r="ABE6" s="66"/>
      <c r="ABF6" s="66"/>
      <c r="ABG6" s="66"/>
      <c r="ABH6" s="66"/>
      <c r="ABI6" s="66"/>
      <c r="ABJ6" s="66"/>
      <c r="ABK6" s="66"/>
      <c r="ABL6" s="66"/>
      <c r="ABM6" s="66"/>
      <c r="ABN6" s="66"/>
      <c r="ABO6" s="66"/>
      <c r="ABP6" s="66"/>
      <c r="ABQ6" s="66"/>
      <c r="ABR6" s="66"/>
      <c r="ABS6" s="66"/>
      <c r="ABT6" s="66"/>
      <c r="ABU6" s="66"/>
      <c r="ABV6" s="66"/>
      <c r="ABW6" s="66"/>
      <c r="ABX6" s="66"/>
      <c r="ABY6" s="66"/>
      <c r="ABZ6" s="66"/>
      <c r="ACA6" s="66"/>
      <c r="ACB6" s="66"/>
      <c r="ACC6" s="66"/>
      <c r="ACD6" s="66"/>
      <c r="ACE6" s="66"/>
      <c r="ACF6" s="66"/>
      <c r="ACG6" s="66"/>
      <c r="ACH6" s="66"/>
      <c r="ACI6" s="66"/>
      <c r="ACJ6" s="66"/>
      <c r="ACK6" s="66"/>
      <c r="ACL6" s="66"/>
      <c r="ACM6" s="66"/>
      <c r="ACN6" s="66"/>
      <c r="ACO6" s="66"/>
      <c r="ACP6" s="66"/>
      <c r="ACQ6" s="66"/>
      <c r="ACR6" s="66"/>
      <c r="ACS6" s="66"/>
      <c r="ACT6" s="66"/>
      <c r="ACU6" s="66"/>
      <c r="ACV6" s="66"/>
      <c r="ACW6" s="66"/>
      <c r="ACX6" s="66"/>
      <c r="ACY6" s="66"/>
      <c r="ACZ6" s="66"/>
      <c r="ADA6" s="66"/>
      <c r="ADB6" s="66"/>
      <c r="ADC6" s="66"/>
      <c r="ADD6" s="66"/>
      <c r="ADE6" s="66"/>
      <c r="ADF6" s="66"/>
      <c r="ADG6" s="66"/>
      <c r="ADH6" s="66"/>
      <c r="ADI6" s="66"/>
      <c r="ADJ6" s="66"/>
      <c r="ADK6" s="66"/>
      <c r="ADL6" s="66"/>
      <c r="ADM6" s="66"/>
      <c r="ADN6" s="66"/>
      <c r="ADO6" s="66"/>
      <c r="ADP6" s="66"/>
      <c r="ADQ6" s="66"/>
      <c r="ADR6" s="66"/>
      <c r="ADS6" s="66"/>
      <c r="ADT6" s="66"/>
      <c r="ADU6" s="66"/>
      <c r="ADV6" s="66"/>
      <c r="ADW6" s="66"/>
      <c r="ADX6" s="66"/>
      <c r="ADY6" s="66"/>
      <c r="ADZ6" s="66"/>
      <c r="AEA6" s="66"/>
      <c r="AEB6" s="66"/>
      <c r="AEC6" s="66"/>
      <c r="AED6" s="66"/>
      <c r="AEE6" s="66"/>
      <c r="AEF6" s="66"/>
      <c r="AEG6" s="66"/>
      <c r="AEH6" s="66"/>
      <c r="AEI6" s="66"/>
      <c r="AEJ6" s="66"/>
      <c r="AEK6" s="66"/>
      <c r="AEL6" s="66"/>
      <c r="AEM6" s="66"/>
      <c r="AEN6" s="66"/>
      <c r="AEO6" s="66"/>
      <c r="AEP6" s="66"/>
      <c r="AEQ6" s="66"/>
      <c r="AER6" s="66"/>
      <c r="AES6" s="66"/>
      <c r="AET6" s="66"/>
      <c r="AEU6" s="66"/>
      <c r="AEV6" s="66"/>
      <c r="AEW6" s="66"/>
      <c r="AEX6" s="66"/>
      <c r="AEY6" s="66"/>
      <c r="AEZ6" s="66"/>
      <c r="AFA6" s="66"/>
      <c r="AFB6" s="66"/>
      <c r="AFC6" s="66"/>
      <c r="AFD6" s="66"/>
      <c r="AFE6" s="66"/>
      <c r="AFF6" s="66"/>
      <c r="AFG6" s="66"/>
      <c r="AFH6" s="66"/>
      <c r="AFI6" s="66"/>
      <c r="AFJ6" s="66"/>
      <c r="AFK6" s="66"/>
      <c r="AFL6" s="66"/>
      <c r="AFM6" s="66"/>
      <c r="AFN6" s="66"/>
      <c r="AFO6" s="66"/>
      <c r="AFP6" s="66"/>
      <c r="AFQ6" s="66"/>
      <c r="AFR6" s="66"/>
      <c r="AFS6" s="66"/>
      <c r="AFT6" s="66"/>
      <c r="AFU6" s="66"/>
      <c r="AFV6" s="66"/>
      <c r="AFW6" s="66"/>
      <c r="AFX6" s="66"/>
      <c r="AFY6" s="66"/>
      <c r="AFZ6" s="66"/>
      <c r="AGA6" s="66"/>
      <c r="AGB6" s="66"/>
      <c r="AGC6" s="66"/>
      <c r="AGD6" s="66"/>
      <c r="AGE6" s="66"/>
      <c r="AGF6" s="66"/>
      <c r="AGG6" s="66"/>
      <c r="AGH6" s="66"/>
      <c r="AGI6" s="66"/>
      <c r="AGJ6" s="66"/>
      <c r="AGK6" s="66"/>
      <c r="AGL6" s="66"/>
      <c r="AGM6" s="66"/>
      <c r="AGN6" s="66"/>
      <c r="AGO6" s="66"/>
      <c r="AGP6" s="66"/>
      <c r="AGQ6" s="66"/>
      <c r="AGR6" s="66"/>
      <c r="AGS6" s="66"/>
      <c r="AGT6" s="66"/>
      <c r="AGU6" s="66"/>
      <c r="AGV6" s="66"/>
      <c r="AGW6" s="66"/>
      <c r="AGX6" s="66"/>
      <c r="AGY6" s="66"/>
      <c r="AGZ6" s="66"/>
      <c r="AHA6" s="66"/>
      <c r="AHB6" s="66"/>
      <c r="AHC6" s="66"/>
      <c r="AHD6" s="66"/>
      <c r="AHE6" s="66"/>
      <c r="AHF6" s="66"/>
      <c r="AHG6" s="66"/>
      <c r="AHH6" s="66"/>
      <c r="AHI6" s="66"/>
      <c r="AHJ6" s="66"/>
      <c r="AHK6" s="66"/>
      <c r="AHL6" s="66"/>
      <c r="AHM6" s="66"/>
      <c r="AHN6" s="66"/>
      <c r="AHO6" s="66"/>
      <c r="AHP6" s="66"/>
      <c r="AHQ6" s="66"/>
      <c r="AHR6" s="66"/>
      <c r="AHS6" s="66"/>
      <c r="AHT6" s="66"/>
      <c r="AHU6" s="66"/>
      <c r="AHV6" s="66"/>
      <c r="AHW6" s="66"/>
      <c r="AHX6" s="66"/>
      <c r="AHY6" s="66"/>
      <c r="AHZ6" s="66"/>
      <c r="AIA6" s="66"/>
      <c r="AIB6" s="66"/>
      <c r="AIC6" s="66"/>
      <c r="AID6" s="66"/>
      <c r="AIE6" s="66"/>
      <c r="AIF6" s="66"/>
      <c r="AIG6" s="66"/>
      <c r="AIH6" s="66"/>
      <c r="AII6" s="66"/>
      <c r="AIJ6" s="66"/>
      <c r="AIK6" s="66"/>
      <c r="AIL6" s="66"/>
      <c r="AIM6" s="66"/>
      <c r="AIN6" s="66"/>
      <c r="AIO6" s="66"/>
      <c r="AIP6" s="66"/>
      <c r="AIQ6" s="66"/>
      <c r="AIR6" s="66"/>
      <c r="AIS6" s="66"/>
      <c r="AIT6" s="66"/>
      <c r="AIU6" s="66"/>
      <c r="AIV6" s="66"/>
      <c r="AIW6" s="66"/>
      <c r="AIX6" s="66"/>
      <c r="AIY6" s="66"/>
      <c r="AIZ6" s="66"/>
      <c r="AJA6" s="66"/>
      <c r="AJB6" s="66"/>
      <c r="AJC6" s="66"/>
      <c r="AJD6" s="66"/>
      <c r="AJE6" s="66"/>
      <c r="AJF6" s="66"/>
      <c r="AJG6" s="66"/>
      <c r="AJH6" s="66"/>
      <c r="AJI6" s="66"/>
      <c r="AJJ6" s="66"/>
      <c r="AJK6" s="66"/>
      <c r="AJL6" s="66"/>
      <c r="AJM6" s="66"/>
      <c r="AJN6" s="66"/>
      <c r="AJO6" s="66"/>
      <c r="AJP6" s="66"/>
      <c r="AJQ6" s="66"/>
      <c r="AJR6" s="66"/>
      <c r="AJS6" s="66"/>
      <c r="AJT6" s="66"/>
      <c r="AJU6" s="66"/>
      <c r="AJV6" s="66"/>
      <c r="AJW6" s="66"/>
      <c r="AJX6" s="66"/>
      <c r="AJY6" s="66"/>
      <c r="AJZ6" s="66"/>
      <c r="AKA6" s="66"/>
      <c r="AKB6" s="66"/>
      <c r="AKC6" s="66"/>
      <c r="AKD6" s="66"/>
      <c r="AKE6" s="66"/>
      <c r="AKF6" s="66"/>
      <c r="AKG6" s="66"/>
      <c r="AKH6" s="66"/>
      <c r="AKI6" s="66"/>
      <c r="AKJ6" s="66"/>
      <c r="AKK6" s="66"/>
      <c r="AKL6" s="66"/>
      <c r="AKM6" s="66"/>
      <c r="AKN6" s="66"/>
      <c r="AKO6" s="66"/>
      <c r="AKP6" s="66"/>
      <c r="AKQ6" s="66"/>
      <c r="AKR6" s="66"/>
      <c r="AKS6" s="66"/>
      <c r="AKT6" s="66"/>
      <c r="AKU6" s="66"/>
      <c r="AKV6" s="66"/>
      <c r="AKW6" s="66"/>
      <c r="AKX6" s="66"/>
      <c r="AKY6" s="66"/>
      <c r="AKZ6" s="66"/>
      <c r="ALA6" s="66"/>
      <c r="ALB6" s="66"/>
      <c r="ALC6" s="66"/>
      <c r="ALD6" s="66"/>
      <c r="ALE6" s="66"/>
      <c r="ALF6" s="66"/>
      <c r="ALG6" s="66"/>
      <c r="ALH6" s="66"/>
      <c r="ALI6" s="66"/>
      <c r="ALJ6" s="66"/>
      <c r="ALK6" s="66"/>
      <c r="ALL6" s="66"/>
      <c r="ALM6" s="66"/>
      <c r="ALN6" s="66"/>
      <c r="ALO6" s="66"/>
      <c r="ALP6" s="66"/>
      <c r="ALQ6" s="66"/>
      <c r="ALR6" s="66"/>
      <c r="ALS6" s="66"/>
      <c r="ALT6" s="66"/>
      <c r="ALU6" s="66"/>
      <c r="ALV6" s="66"/>
      <c r="ALW6" s="66"/>
      <c r="ALX6" s="66"/>
      <c r="ALY6" s="66"/>
      <c r="ALZ6" s="66"/>
      <c r="AMA6" s="66"/>
      <c r="AMB6" s="66"/>
      <c r="AMC6" s="66"/>
      <c r="AMD6" s="66"/>
      <c r="AME6" s="66"/>
      <c r="AMF6" s="66"/>
      <c r="AMG6" s="66"/>
      <c r="AMH6" s="66"/>
      <c r="AMI6" s="66"/>
      <c r="AMJ6" s="66"/>
    </row>
    <row r="7" spans="1:1024" x14ac:dyDescent="0.25">
      <c r="A7" s="8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62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  <c r="AEG7" s="66"/>
      <c r="AEH7" s="66"/>
      <c r="AEI7" s="66"/>
      <c r="AEJ7" s="66"/>
      <c r="AEK7" s="66"/>
      <c r="AEL7" s="66"/>
      <c r="AEM7" s="66"/>
      <c r="AEN7" s="66"/>
      <c r="AEO7" s="66"/>
      <c r="AEP7" s="66"/>
      <c r="AEQ7" s="66"/>
      <c r="AER7" s="66"/>
      <c r="AES7" s="66"/>
      <c r="AET7" s="66"/>
      <c r="AEU7" s="66"/>
      <c r="AEV7" s="66"/>
      <c r="AEW7" s="66"/>
      <c r="AEX7" s="66"/>
      <c r="AEY7" s="66"/>
      <c r="AEZ7" s="66"/>
      <c r="AFA7" s="66"/>
      <c r="AFB7" s="66"/>
      <c r="AFC7" s="66"/>
      <c r="AFD7" s="66"/>
      <c r="AFE7" s="66"/>
      <c r="AFF7" s="66"/>
      <c r="AFG7" s="66"/>
      <c r="AFH7" s="66"/>
      <c r="AFI7" s="66"/>
      <c r="AFJ7" s="66"/>
      <c r="AFK7" s="66"/>
      <c r="AFL7" s="66"/>
      <c r="AFM7" s="66"/>
      <c r="AFN7" s="66"/>
      <c r="AFO7" s="66"/>
      <c r="AFP7" s="66"/>
      <c r="AFQ7" s="66"/>
      <c r="AFR7" s="66"/>
      <c r="AFS7" s="66"/>
      <c r="AFT7" s="66"/>
      <c r="AFU7" s="66"/>
      <c r="AFV7" s="66"/>
      <c r="AFW7" s="66"/>
      <c r="AFX7" s="66"/>
      <c r="AFY7" s="66"/>
      <c r="AFZ7" s="66"/>
      <c r="AGA7" s="66"/>
      <c r="AGB7" s="66"/>
      <c r="AGC7" s="66"/>
      <c r="AGD7" s="66"/>
      <c r="AGE7" s="66"/>
      <c r="AGF7" s="66"/>
      <c r="AGG7" s="66"/>
      <c r="AGH7" s="66"/>
      <c r="AGI7" s="66"/>
      <c r="AGJ7" s="66"/>
      <c r="AGK7" s="66"/>
      <c r="AGL7" s="66"/>
      <c r="AGM7" s="66"/>
      <c r="AGN7" s="66"/>
      <c r="AGO7" s="66"/>
      <c r="AGP7" s="66"/>
      <c r="AGQ7" s="66"/>
      <c r="AGR7" s="66"/>
      <c r="AGS7" s="66"/>
      <c r="AGT7" s="66"/>
      <c r="AGU7" s="66"/>
      <c r="AGV7" s="66"/>
      <c r="AGW7" s="66"/>
      <c r="AGX7" s="66"/>
      <c r="AGY7" s="66"/>
      <c r="AGZ7" s="66"/>
      <c r="AHA7" s="66"/>
      <c r="AHB7" s="66"/>
      <c r="AHC7" s="66"/>
      <c r="AHD7" s="66"/>
      <c r="AHE7" s="66"/>
      <c r="AHF7" s="66"/>
      <c r="AHG7" s="66"/>
      <c r="AHH7" s="66"/>
      <c r="AHI7" s="66"/>
      <c r="AHJ7" s="66"/>
      <c r="AHK7" s="66"/>
      <c r="AHL7" s="66"/>
      <c r="AHM7" s="66"/>
      <c r="AHN7" s="66"/>
      <c r="AHO7" s="66"/>
      <c r="AHP7" s="66"/>
      <c r="AHQ7" s="66"/>
      <c r="AHR7" s="66"/>
      <c r="AHS7" s="66"/>
      <c r="AHT7" s="66"/>
      <c r="AHU7" s="66"/>
      <c r="AHV7" s="66"/>
      <c r="AHW7" s="66"/>
      <c r="AHX7" s="66"/>
      <c r="AHY7" s="66"/>
      <c r="AHZ7" s="66"/>
      <c r="AIA7" s="66"/>
      <c r="AIB7" s="66"/>
      <c r="AIC7" s="66"/>
      <c r="AID7" s="66"/>
      <c r="AIE7" s="66"/>
      <c r="AIF7" s="66"/>
      <c r="AIG7" s="66"/>
      <c r="AIH7" s="66"/>
      <c r="AII7" s="66"/>
      <c r="AIJ7" s="66"/>
      <c r="AIK7" s="66"/>
      <c r="AIL7" s="66"/>
      <c r="AIM7" s="66"/>
      <c r="AIN7" s="66"/>
      <c r="AIO7" s="66"/>
      <c r="AIP7" s="66"/>
      <c r="AIQ7" s="66"/>
      <c r="AIR7" s="66"/>
      <c r="AIS7" s="66"/>
      <c r="AIT7" s="66"/>
      <c r="AIU7" s="66"/>
      <c r="AIV7" s="66"/>
      <c r="AIW7" s="66"/>
      <c r="AIX7" s="66"/>
      <c r="AIY7" s="66"/>
      <c r="AIZ7" s="66"/>
      <c r="AJA7" s="66"/>
      <c r="AJB7" s="66"/>
      <c r="AJC7" s="66"/>
      <c r="AJD7" s="66"/>
      <c r="AJE7" s="66"/>
      <c r="AJF7" s="66"/>
      <c r="AJG7" s="66"/>
      <c r="AJH7" s="66"/>
      <c r="AJI7" s="66"/>
      <c r="AJJ7" s="66"/>
      <c r="AJK7" s="66"/>
      <c r="AJL7" s="66"/>
      <c r="AJM7" s="66"/>
      <c r="AJN7" s="66"/>
      <c r="AJO7" s="66"/>
      <c r="AJP7" s="66"/>
      <c r="AJQ7" s="66"/>
      <c r="AJR7" s="66"/>
      <c r="AJS7" s="66"/>
      <c r="AJT7" s="66"/>
      <c r="AJU7" s="66"/>
      <c r="AJV7" s="66"/>
      <c r="AJW7" s="66"/>
      <c r="AJX7" s="66"/>
      <c r="AJY7" s="66"/>
      <c r="AJZ7" s="66"/>
      <c r="AKA7" s="66"/>
      <c r="AKB7" s="66"/>
      <c r="AKC7" s="66"/>
      <c r="AKD7" s="66"/>
      <c r="AKE7" s="66"/>
      <c r="AKF7" s="66"/>
      <c r="AKG7" s="66"/>
      <c r="AKH7" s="66"/>
      <c r="AKI7" s="66"/>
      <c r="AKJ7" s="66"/>
      <c r="AKK7" s="66"/>
      <c r="AKL7" s="66"/>
      <c r="AKM7" s="66"/>
      <c r="AKN7" s="66"/>
      <c r="AKO7" s="66"/>
      <c r="AKP7" s="66"/>
      <c r="AKQ7" s="66"/>
      <c r="AKR7" s="66"/>
      <c r="AKS7" s="66"/>
      <c r="AKT7" s="66"/>
      <c r="AKU7" s="66"/>
      <c r="AKV7" s="66"/>
      <c r="AKW7" s="66"/>
      <c r="AKX7" s="66"/>
      <c r="AKY7" s="66"/>
      <c r="AKZ7" s="66"/>
      <c r="ALA7" s="66"/>
      <c r="ALB7" s="66"/>
      <c r="ALC7" s="66"/>
      <c r="ALD7" s="66"/>
      <c r="ALE7" s="66"/>
      <c r="ALF7" s="66"/>
      <c r="ALG7" s="66"/>
      <c r="ALH7" s="66"/>
      <c r="ALI7" s="66"/>
      <c r="ALJ7" s="66"/>
      <c r="ALK7" s="66"/>
      <c r="ALL7" s="66"/>
      <c r="ALM7" s="66"/>
      <c r="ALN7" s="66"/>
      <c r="ALO7" s="66"/>
      <c r="ALP7" s="66"/>
      <c r="ALQ7" s="66"/>
      <c r="ALR7" s="66"/>
      <c r="ALS7" s="66"/>
      <c r="ALT7" s="66"/>
      <c r="ALU7" s="66"/>
      <c r="ALV7" s="66"/>
      <c r="ALW7" s="66"/>
      <c r="ALX7" s="66"/>
      <c r="ALY7" s="66"/>
      <c r="ALZ7" s="66"/>
      <c r="AMA7" s="66"/>
      <c r="AMB7" s="66"/>
      <c r="AMC7" s="66"/>
      <c r="AMD7" s="66"/>
      <c r="AME7" s="66"/>
      <c r="AMF7" s="66"/>
      <c r="AMG7" s="66"/>
      <c r="AMH7" s="66"/>
      <c r="AMI7" s="66"/>
      <c r="AMJ7" s="66"/>
    </row>
    <row r="8" spans="1:1024" x14ac:dyDescent="0.25">
      <c r="A8" s="80" t="str">
        <f>IF($D$1&lt;&gt;"",A4+1,"")</f>
        <v/>
      </c>
      <c r="B8" s="81" t="str">
        <f>IF(Kielivalinta="Suomi","Tarkistuslaskenta käyttää kenttäotsikoita ja -koodeja siinä muodossa kuin ne ovat KITT:ssa, joten kaikki poiminnat on tehtävä tietokantaan kirjautuneena.",IF(Kielivalinta="Svenska","Granskningsräkningen använder  fälttitlar och -koder som de är i KITT2, så du måste vara inloggad.",""))</f>
        <v/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62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</row>
    <row r="9" spans="1:1024" x14ac:dyDescent="0.25">
      <c r="A9" s="85" t="str">
        <f>IF($D$1&lt;&gt;"",A8+1,"")</f>
        <v/>
      </c>
      <c r="B9" s="86" t="str">
        <f>IF(Kielivalinta="Suomi","Valitse KITT2:ssa haluamasi kirjasto.",IF(Kielivalinta="Svenska","Markera biblioteket i KITT2.",""))</f>
        <v/>
      </c>
      <c r="C9" s="86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2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</row>
    <row r="10" spans="1:1024" x14ac:dyDescent="0.25">
      <c r="A10" s="101" t="str">
        <f>IF($D$1&lt;&gt;"",A9+1,"")</f>
        <v/>
      </c>
      <c r="B10" s="102" t="str">
        <f>IF(Kielivalinta="Suomi","Hae vertailtavat tilastovuodet KITT2:ssa (Huom: Tämä työkalu on suunniteltu ensisijaisesti kahden peräkkäisen tilastovuoden vertailuun; esim. suurten muutosten aiheuttamat solujen taustavärit perustuvat 'liian suuriin' vertailtavien vuosien eroihin).",IF(Kielivalinta="Svenska","Sök jämförbara år i KITT2 (Obs: Detta verktyg är planerad i första hand för att jämföra successiva år; t.ex. bakgrundsfärgerna i tabellernas celler baserar sig på 'för stora' skillnader mellan de jämförda åren).",""))</f>
        <v/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62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</row>
    <row r="11" spans="1:1024" x14ac:dyDescent="0.25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62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</row>
    <row r="12" spans="1:1024" x14ac:dyDescent="0.25">
      <c r="A12" s="85" t="str">
        <f>IF($D$1&lt;&gt;"",A10+1,"")</f>
        <v/>
      </c>
      <c r="B12" s="86" t="str">
        <f>IF(Kielivalinta="Suomi","Poimi hakutulos KITT2:sta Windowsin leikepöydälle Leikkaa-liimaa-menetelmällä (Copy-Paste). KITT2:n tarjoaman Excel-taulukon kautta kuljettaminen sekoittaa asetukset eikä laskenta onnistu.",IF(Kielivalinta="Svenska","Plocka sökresultatet i KITT2 till Windows klippbordet med Klipp ut (eller kopiera) - Klistra in (Copy-Paste) metoden. Exceltabellen som KITT2 skapar, blandar inställningarna så att beräkningen inte fungerar.",""))</f>
        <v/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62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</row>
    <row r="13" spans="1:1024" x14ac:dyDescent="0.25">
      <c r="A13" s="80" t="str">
        <f>IF($D$1&lt;&gt;"",A12+1,"")</f>
        <v/>
      </c>
      <c r="B13" s="102" t="str">
        <f>IF(Kielivalinta="Suomi","Liitä leikepöydän sisältö tauluun ["&amp;Data!B1&amp;"] ensisijaisesti tekstinä (joko Unicode tai tekstinä ilman muotoilua). HTML-muodossa (ctrl-v) liittäminen toimii myös, mutta se voi joissakin tapauksissa jumiuttaa tiedoston. Aloita liittämisalueen ensimmäisestä solusta, tässä esimerkissä solusta A2",IF(Kielivalinta="Svenska","Klistra in klippbordets innehåll i tabellen ["&amp;Data!B1&amp;"] i första hand som text (antingen Unicode eller text utan formatering). Klistrandet in i HTML (ctrl-v) -format fungerar också, men det kan i vissa fall få filen att haka upp sig."&amp;" Börja i första cellen av klistringsområdet; i detta exempel startar vi i cellen A2.",""))</f>
        <v/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62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</row>
    <row r="14" spans="1:1024" x14ac:dyDescent="0.25">
      <c r="A14" s="8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62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  <c r="AMB14" s="66"/>
      <c r="AMC14" s="66"/>
      <c r="AMD14" s="66"/>
      <c r="AME14" s="66"/>
      <c r="AMF14" s="66"/>
      <c r="AMG14" s="66"/>
      <c r="AMH14" s="66"/>
      <c r="AMI14" s="66"/>
      <c r="AMJ14" s="66"/>
    </row>
    <row r="15" spans="1:1024" x14ac:dyDescent="0.25">
      <c r="A15" s="88" t="str">
        <f>IF($D$1&lt;&gt;"",A13+1,"")</f>
        <v/>
      </c>
      <c r="B15" s="106" t="str">
        <f>IF(Kielivalinta="Suomi","Jotta tiedoston laskenta ja grafiikka toimisivat, on hakutulos ensin siivottava taulun ["&amp;Data!B1&amp;"] sarakkeissa B ja C poistamalla KITT2:sta kopioinnin mukana tulevat tähdet (*) sekä N/A-merkinnät.
Se käy helpoiten käyttämällä Excelin toimintoa 'Etsi ja korvaa' (Find and Replace).
(Älä koske muihin sarakkeisiin! -  ks. poikkeus kohdassa 9).",IF(Kielivalinta="Svenska","För att aktivera beräkningen och grafiken, måste sökresultatet städas i tabellens ["&amp;Data!B1&amp;"] kolumnerna B och C genom att radera asteriskerna (*) och anteckningarna ’N/A’.
Det går lättast med kommandot 'Sök efter och Ersätt med' (Find and Replace).
(Rör inte andra kolumner! - se undantag i punkt 9).",""))</f>
        <v/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62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  <c r="AMB15" s="66"/>
      <c r="AMC15" s="66"/>
      <c r="AMD15" s="66"/>
      <c r="AME15" s="66"/>
      <c r="AMF15" s="66"/>
      <c r="AMG15" s="66"/>
      <c r="AMH15" s="66"/>
      <c r="AMI15" s="66"/>
      <c r="AMJ15" s="66"/>
    </row>
    <row r="16" spans="1:1024" x14ac:dyDescent="0.25">
      <c r="A16" s="88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62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  <c r="ACN16" s="66"/>
      <c r="ACO16" s="66"/>
      <c r="ACP16" s="66"/>
      <c r="ACQ16" s="66"/>
      <c r="ACR16" s="66"/>
      <c r="ACS16" s="66"/>
      <c r="ACT16" s="66"/>
      <c r="ACU16" s="66"/>
      <c r="ACV16" s="66"/>
      <c r="ACW16" s="66"/>
      <c r="ACX16" s="66"/>
      <c r="ACY16" s="66"/>
      <c r="ACZ16" s="66"/>
      <c r="ADA16" s="66"/>
      <c r="ADB16" s="66"/>
      <c r="ADC16" s="66"/>
      <c r="ADD16" s="66"/>
      <c r="ADE16" s="66"/>
      <c r="ADF16" s="66"/>
      <c r="ADG16" s="66"/>
      <c r="ADH16" s="66"/>
      <c r="ADI16" s="66"/>
      <c r="ADJ16" s="66"/>
      <c r="ADK16" s="66"/>
      <c r="ADL16" s="66"/>
      <c r="ADM16" s="66"/>
      <c r="ADN16" s="66"/>
      <c r="ADO16" s="66"/>
      <c r="ADP16" s="66"/>
      <c r="ADQ16" s="66"/>
      <c r="ADR16" s="66"/>
      <c r="ADS16" s="66"/>
      <c r="ADT16" s="66"/>
      <c r="ADU16" s="66"/>
      <c r="ADV16" s="66"/>
      <c r="ADW16" s="66"/>
      <c r="ADX16" s="66"/>
      <c r="ADY16" s="66"/>
      <c r="ADZ16" s="66"/>
      <c r="AEA16" s="66"/>
      <c r="AEB16" s="66"/>
      <c r="AEC16" s="66"/>
      <c r="AED16" s="66"/>
      <c r="AEE16" s="66"/>
      <c r="AEF16" s="66"/>
      <c r="AEG16" s="66"/>
      <c r="AEH16" s="66"/>
      <c r="AEI16" s="66"/>
      <c r="AEJ16" s="66"/>
      <c r="AEK16" s="66"/>
      <c r="AEL16" s="66"/>
      <c r="AEM16" s="66"/>
      <c r="AEN16" s="66"/>
      <c r="AEO16" s="66"/>
      <c r="AEP16" s="66"/>
      <c r="AEQ16" s="66"/>
      <c r="AER16" s="66"/>
      <c r="AES16" s="66"/>
      <c r="AET16" s="66"/>
      <c r="AEU16" s="66"/>
      <c r="AEV16" s="66"/>
      <c r="AEW16" s="66"/>
      <c r="AEX16" s="66"/>
      <c r="AEY16" s="66"/>
      <c r="AEZ16" s="66"/>
      <c r="AFA16" s="66"/>
      <c r="AFB16" s="66"/>
      <c r="AFC16" s="66"/>
      <c r="AFD16" s="66"/>
      <c r="AFE16" s="66"/>
      <c r="AFF16" s="66"/>
      <c r="AFG16" s="66"/>
      <c r="AFH16" s="66"/>
      <c r="AFI16" s="66"/>
      <c r="AFJ16" s="66"/>
      <c r="AFK16" s="66"/>
      <c r="AFL16" s="66"/>
      <c r="AFM16" s="66"/>
      <c r="AFN16" s="66"/>
      <c r="AFO16" s="66"/>
      <c r="AFP16" s="66"/>
      <c r="AFQ16" s="66"/>
      <c r="AFR16" s="66"/>
      <c r="AFS16" s="66"/>
      <c r="AFT16" s="66"/>
      <c r="AFU16" s="66"/>
      <c r="AFV16" s="66"/>
      <c r="AFW16" s="66"/>
      <c r="AFX16" s="66"/>
      <c r="AFY16" s="66"/>
      <c r="AFZ16" s="66"/>
      <c r="AGA16" s="66"/>
      <c r="AGB16" s="66"/>
      <c r="AGC16" s="66"/>
      <c r="AGD16" s="66"/>
      <c r="AGE16" s="66"/>
      <c r="AGF16" s="66"/>
      <c r="AGG16" s="66"/>
      <c r="AGH16" s="66"/>
      <c r="AGI16" s="66"/>
      <c r="AGJ16" s="66"/>
      <c r="AGK16" s="66"/>
      <c r="AGL16" s="66"/>
      <c r="AGM16" s="66"/>
      <c r="AGN16" s="66"/>
      <c r="AGO16" s="66"/>
      <c r="AGP16" s="66"/>
      <c r="AGQ16" s="66"/>
      <c r="AGR16" s="66"/>
      <c r="AGS16" s="66"/>
      <c r="AGT16" s="66"/>
      <c r="AGU16" s="66"/>
      <c r="AGV16" s="66"/>
      <c r="AGW16" s="66"/>
      <c r="AGX16" s="66"/>
      <c r="AGY16" s="66"/>
      <c r="AGZ16" s="66"/>
      <c r="AHA16" s="66"/>
      <c r="AHB16" s="66"/>
      <c r="AHC16" s="66"/>
      <c r="AHD16" s="66"/>
      <c r="AHE16" s="66"/>
      <c r="AHF16" s="66"/>
      <c r="AHG16" s="66"/>
      <c r="AHH16" s="66"/>
      <c r="AHI16" s="66"/>
      <c r="AHJ16" s="66"/>
      <c r="AHK16" s="66"/>
      <c r="AHL16" s="66"/>
      <c r="AHM16" s="66"/>
      <c r="AHN16" s="66"/>
      <c r="AHO16" s="66"/>
      <c r="AHP16" s="66"/>
      <c r="AHQ16" s="66"/>
      <c r="AHR16" s="66"/>
      <c r="AHS16" s="66"/>
      <c r="AHT16" s="66"/>
      <c r="AHU16" s="66"/>
      <c r="AHV16" s="66"/>
      <c r="AHW16" s="66"/>
      <c r="AHX16" s="66"/>
      <c r="AHY16" s="66"/>
      <c r="AHZ16" s="66"/>
      <c r="AIA16" s="66"/>
      <c r="AIB16" s="66"/>
      <c r="AIC16" s="66"/>
      <c r="AID16" s="66"/>
      <c r="AIE16" s="66"/>
      <c r="AIF16" s="66"/>
      <c r="AIG16" s="66"/>
      <c r="AIH16" s="66"/>
      <c r="AII16" s="66"/>
      <c r="AIJ16" s="66"/>
      <c r="AIK16" s="66"/>
      <c r="AIL16" s="66"/>
      <c r="AIM16" s="66"/>
      <c r="AIN16" s="66"/>
      <c r="AIO16" s="66"/>
      <c r="AIP16" s="66"/>
      <c r="AIQ16" s="66"/>
      <c r="AIR16" s="66"/>
      <c r="AIS16" s="66"/>
      <c r="AIT16" s="66"/>
      <c r="AIU16" s="66"/>
      <c r="AIV16" s="66"/>
      <c r="AIW16" s="66"/>
      <c r="AIX16" s="66"/>
      <c r="AIY16" s="66"/>
      <c r="AIZ16" s="66"/>
      <c r="AJA16" s="66"/>
      <c r="AJB16" s="66"/>
      <c r="AJC16" s="66"/>
      <c r="AJD16" s="66"/>
      <c r="AJE16" s="66"/>
      <c r="AJF16" s="66"/>
      <c r="AJG16" s="66"/>
      <c r="AJH16" s="66"/>
      <c r="AJI16" s="66"/>
      <c r="AJJ16" s="66"/>
      <c r="AJK16" s="66"/>
      <c r="AJL16" s="66"/>
      <c r="AJM16" s="66"/>
      <c r="AJN16" s="66"/>
      <c r="AJO16" s="66"/>
      <c r="AJP16" s="66"/>
      <c r="AJQ16" s="66"/>
      <c r="AJR16" s="66"/>
      <c r="AJS16" s="66"/>
      <c r="AJT16" s="66"/>
      <c r="AJU16" s="66"/>
      <c r="AJV16" s="66"/>
      <c r="AJW16" s="66"/>
      <c r="AJX16" s="66"/>
      <c r="AJY16" s="66"/>
      <c r="AJZ16" s="66"/>
      <c r="AKA16" s="66"/>
      <c r="AKB16" s="66"/>
      <c r="AKC16" s="66"/>
      <c r="AKD16" s="66"/>
      <c r="AKE16" s="66"/>
      <c r="AKF16" s="66"/>
      <c r="AKG16" s="66"/>
      <c r="AKH16" s="66"/>
      <c r="AKI16" s="66"/>
      <c r="AKJ16" s="66"/>
      <c r="AKK16" s="66"/>
      <c r="AKL16" s="66"/>
      <c r="AKM16" s="66"/>
      <c r="AKN16" s="66"/>
      <c r="AKO16" s="66"/>
      <c r="AKP16" s="66"/>
      <c r="AKQ16" s="66"/>
      <c r="AKR16" s="66"/>
      <c r="AKS16" s="66"/>
      <c r="AKT16" s="66"/>
      <c r="AKU16" s="66"/>
      <c r="AKV16" s="66"/>
      <c r="AKW16" s="66"/>
      <c r="AKX16" s="66"/>
      <c r="AKY16" s="66"/>
      <c r="AKZ16" s="66"/>
      <c r="ALA16" s="66"/>
      <c r="ALB16" s="66"/>
      <c r="ALC16" s="66"/>
      <c r="ALD16" s="66"/>
      <c r="ALE16" s="66"/>
      <c r="ALF16" s="66"/>
      <c r="ALG16" s="66"/>
      <c r="ALH16" s="66"/>
      <c r="ALI16" s="66"/>
      <c r="ALJ16" s="66"/>
      <c r="ALK16" s="66"/>
      <c r="ALL16" s="66"/>
      <c r="ALM16" s="66"/>
      <c r="ALN16" s="66"/>
      <c r="ALO16" s="66"/>
      <c r="ALP16" s="66"/>
      <c r="ALQ16" s="66"/>
      <c r="ALR16" s="66"/>
      <c r="ALS16" s="66"/>
      <c r="ALT16" s="66"/>
      <c r="ALU16" s="66"/>
      <c r="ALV16" s="66"/>
      <c r="ALW16" s="66"/>
      <c r="ALX16" s="66"/>
      <c r="ALY16" s="66"/>
      <c r="ALZ16" s="66"/>
      <c r="AMA16" s="66"/>
      <c r="AMB16" s="66"/>
      <c r="AMC16" s="66"/>
      <c r="AMD16" s="66"/>
      <c r="AME16" s="66"/>
      <c r="AMF16" s="66"/>
      <c r="AMG16" s="66"/>
      <c r="AMH16" s="66"/>
      <c r="AMI16" s="66"/>
      <c r="AMJ16" s="66"/>
    </row>
    <row r="17" spans="1:1024" x14ac:dyDescent="0.25">
      <c r="A17" s="88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62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  <c r="IZ17" s="66"/>
      <c r="JA17" s="66"/>
      <c r="JB17" s="66"/>
      <c r="JC17" s="66"/>
      <c r="JD17" s="66"/>
      <c r="JE17" s="66"/>
      <c r="JF17" s="66"/>
      <c r="JG17" s="66"/>
      <c r="JH17" s="66"/>
      <c r="JI17" s="66"/>
      <c r="JJ17" s="66"/>
      <c r="JK17" s="66"/>
      <c r="JL17" s="66"/>
      <c r="JM17" s="66"/>
      <c r="JN17" s="66"/>
      <c r="JO17" s="66"/>
      <c r="JP17" s="66"/>
      <c r="JQ17" s="66"/>
      <c r="JR17" s="66"/>
      <c r="JS17" s="66"/>
      <c r="JT17" s="66"/>
      <c r="JU17" s="66"/>
      <c r="JV17" s="66"/>
      <c r="JW17" s="66"/>
      <c r="JX17" s="66"/>
      <c r="JY17" s="66"/>
      <c r="JZ17" s="66"/>
      <c r="KA17" s="66"/>
      <c r="KB17" s="66"/>
      <c r="KC17" s="66"/>
      <c r="KD17" s="66"/>
      <c r="KE17" s="66"/>
      <c r="KF17" s="66"/>
      <c r="KG17" s="66"/>
      <c r="KH17" s="66"/>
      <c r="KI17" s="66"/>
      <c r="KJ17" s="66"/>
      <c r="KK17" s="66"/>
      <c r="KL17" s="66"/>
      <c r="KM17" s="66"/>
      <c r="KN17" s="66"/>
      <c r="KO17" s="66"/>
      <c r="KP17" s="66"/>
      <c r="KQ17" s="66"/>
      <c r="KR17" s="66"/>
      <c r="KS17" s="66"/>
      <c r="KT17" s="66"/>
      <c r="KU17" s="66"/>
      <c r="KV17" s="66"/>
      <c r="KW17" s="66"/>
      <c r="KX17" s="66"/>
      <c r="KY17" s="66"/>
      <c r="KZ17" s="66"/>
      <c r="LA17" s="66"/>
      <c r="LB17" s="66"/>
      <c r="LC17" s="66"/>
      <c r="LD17" s="66"/>
      <c r="LE17" s="66"/>
      <c r="LF17" s="66"/>
      <c r="LG17" s="66"/>
      <c r="LH17" s="66"/>
      <c r="LI17" s="66"/>
      <c r="LJ17" s="66"/>
      <c r="LK17" s="66"/>
      <c r="LL17" s="66"/>
      <c r="LM17" s="66"/>
      <c r="LN17" s="66"/>
      <c r="LO17" s="66"/>
      <c r="LP17" s="66"/>
      <c r="LQ17" s="66"/>
      <c r="LR17" s="66"/>
      <c r="LS17" s="66"/>
      <c r="LT17" s="66"/>
      <c r="LU17" s="66"/>
      <c r="LV17" s="66"/>
      <c r="LW17" s="66"/>
      <c r="LX17" s="66"/>
      <c r="LY17" s="66"/>
      <c r="LZ17" s="66"/>
      <c r="MA17" s="66"/>
      <c r="MB17" s="66"/>
      <c r="MC17" s="66"/>
      <c r="MD17" s="66"/>
      <c r="ME17" s="66"/>
      <c r="MF17" s="66"/>
      <c r="MG17" s="66"/>
      <c r="MH17" s="66"/>
      <c r="MI17" s="66"/>
      <c r="MJ17" s="66"/>
      <c r="MK17" s="66"/>
      <c r="ML17" s="66"/>
      <c r="MM17" s="66"/>
      <c r="MN17" s="66"/>
      <c r="MO17" s="66"/>
      <c r="MP17" s="66"/>
      <c r="MQ17" s="66"/>
      <c r="MR17" s="66"/>
      <c r="MS17" s="66"/>
      <c r="MT17" s="66"/>
      <c r="MU17" s="66"/>
      <c r="MV17" s="66"/>
      <c r="MW17" s="66"/>
      <c r="MX17" s="66"/>
      <c r="MY17" s="66"/>
      <c r="MZ17" s="66"/>
      <c r="NA17" s="66"/>
      <c r="NB17" s="66"/>
      <c r="NC17" s="66"/>
      <c r="ND17" s="66"/>
      <c r="NE17" s="66"/>
      <c r="NF17" s="66"/>
      <c r="NG17" s="66"/>
      <c r="NH17" s="66"/>
      <c r="NI17" s="66"/>
      <c r="NJ17" s="66"/>
      <c r="NK17" s="66"/>
      <c r="NL17" s="66"/>
      <c r="NM17" s="66"/>
      <c r="NN17" s="66"/>
      <c r="NO17" s="66"/>
      <c r="NP17" s="66"/>
      <c r="NQ17" s="66"/>
      <c r="NR17" s="66"/>
      <c r="NS17" s="66"/>
      <c r="NT17" s="66"/>
      <c r="NU17" s="66"/>
      <c r="NV17" s="66"/>
      <c r="NW17" s="66"/>
      <c r="NX17" s="66"/>
      <c r="NY17" s="66"/>
      <c r="NZ17" s="66"/>
      <c r="OA17" s="66"/>
      <c r="OB17" s="66"/>
      <c r="OC17" s="66"/>
      <c r="OD17" s="66"/>
      <c r="OE17" s="66"/>
      <c r="OF17" s="66"/>
      <c r="OG17" s="66"/>
      <c r="OH17" s="66"/>
      <c r="OI17" s="66"/>
      <c r="OJ17" s="66"/>
      <c r="OK17" s="66"/>
      <c r="OL17" s="66"/>
      <c r="OM17" s="66"/>
      <c r="ON17" s="66"/>
      <c r="OO17" s="66"/>
      <c r="OP17" s="66"/>
      <c r="OQ17" s="66"/>
      <c r="OR17" s="66"/>
      <c r="OS17" s="66"/>
      <c r="OT17" s="66"/>
      <c r="OU17" s="66"/>
      <c r="OV17" s="66"/>
      <c r="OW17" s="66"/>
      <c r="OX17" s="66"/>
      <c r="OY17" s="66"/>
      <c r="OZ17" s="66"/>
      <c r="PA17" s="66"/>
      <c r="PB17" s="66"/>
      <c r="PC17" s="66"/>
      <c r="PD17" s="66"/>
      <c r="PE17" s="66"/>
      <c r="PF17" s="66"/>
      <c r="PG17" s="66"/>
      <c r="PH17" s="66"/>
      <c r="PI17" s="66"/>
      <c r="PJ17" s="66"/>
      <c r="PK17" s="66"/>
      <c r="PL17" s="66"/>
      <c r="PM17" s="66"/>
      <c r="PN17" s="66"/>
      <c r="PO17" s="66"/>
      <c r="PP17" s="66"/>
      <c r="PQ17" s="66"/>
      <c r="PR17" s="66"/>
      <c r="PS17" s="66"/>
      <c r="PT17" s="66"/>
      <c r="PU17" s="66"/>
      <c r="PV17" s="66"/>
      <c r="PW17" s="66"/>
      <c r="PX17" s="66"/>
      <c r="PY17" s="66"/>
      <c r="PZ17" s="66"/>
      <c r="QA17" s="66"/>
      <c r="QB17" s="66"/>
      <c r="QC17" s="66"/>
      <c r="QD17" s="66"/>
      <c r="QE17" s="66"/>
      <c r="QF17" s="66"/>
      <c r="QG17" s="66"/>
      <c r="QH17" s="66"/>
      <c r="QI17" s="66"/>
      <c r="QJ17" s="66"/>
      <c r="QK17" s="66"/>
      <c r="QL17" s="66"/>
      <c r="QM17" s="66"/>
      <c r="QN17" s="66"/>
      <c r="QO17" s="66"/>
      <c r="QP17" s="66"/>
      <c r="QQ17" s="66"/>
      <c r="QR17" s="66"/>
      <c r="QS17" s="66"/>
      <c r="QT17" s="66"/>
      <c r="QU17" s="66"/>
      <c r="QV17" s="66"/>
      <c r="QW17" s="66"/>
      <c r="QX17" s="66"/>
      <c r="QY17" s="66"/>
      <c r="QZ17" s="66"/>
      <c r="RA17" s="66"/>
      <c r="RB17" s="66"/>
      <c r="RC17" s="66"/>
      <c r="RD17" s="66"/>
      <c r="RE17" s="66"/>
      <c r="RF17" s="66"/>
      <c r="RG17" s="66"/>
      <c r="RH17" s="66"/>
      <c r="RI17" s="66"/>
      <c r="RJ17" s="66"/>
      <c r="RK17" s="66"/>
      <c r="RL17" s="66"/>
      <c r="RM17" s="66"/>
      <c r="RN17" s="66"/>
      <c r="RO17" s="66"/>
      <c r="RP17" s="66"/>
      <c r="RQ17" s="66"/>
      <c r="RR17" s="66"/>
      <c r="RS17" s="66"/>
      <c r="RT17" s="66"/>
      <c r="RU17" s="66"/>
      <c r="RV17" s="66"/>
      <c r="RW17" s="66"/>
      <c r="RX17" s="66"/>
      <c r="RY17" s="66"/>
      <c r="RZ17" s="66"/>
      <c r="SA17" s="66"/>
      <c r="SB17" s="66"/>
      <c r="SC17" s="66"/>
      <c r="SD17" s="66"/>
      <c r="SE17" s="66"/>
      <c r="SF17" s="66"/>
      <c r="SG17" s="66"/>
      <c r="SH17" s="66"/>
      <c r="SI17" s="66"/>
      <c r="SJ17" s="66"/>
      <c r="SK17" s="66"/>
      <c r="SL17" s="66"/>
      <c r="SM17" s="66"/>
      <c r="SN17" s="66"/>
      <c r="SO17" s="66"/>
      <c r="SP17" s="66"/>
      <c r="SQ17" s="66"/>
      <c r="SR17" s="66"/>
      <c r="SS17" s="66"/>
      <c r="ST17" s="66"/>
      <c r="SU17" s="66"/>
      <c r="SV17" s="66"/>
      <c r="SW17" s="66"/>
      <c r="SX17" s="66"/>
      <c r="SY17" s="66"/>
      <c r="SZ17" s="66"/>
      <c r="TA17" s="66"/>
      <c r="TB17" s="66"/>
      <c r="TC17" s="66"/>
      <c r="TD17" s="66"/>
      <c r="TE17" s="66"/>
      <c r="TF17" s="66"/>
      <c r="TG17" s="66"/>
      <c r="TH17" s="66"/>
      <c r="TI17" s="66"/>
      <c r="TJ17" s="66"/>
      <c r="TK17" s="66"/>
      <c r="TL17" s="66"/>
      <c r="TM17" s="66"/>
      <c r="TN17" s="66"/>
      <c r="TO17" s="66"/>
      <c r="TP17" s="66"/>
      <c r="TQ17" s="66"/>
      <c r="TR17" s="66"/>
      <c r="TS17" s="66"/>
      <c r="TT17" s="66"/>
      <c r="TU17" s="66"/>
      <c r="TV17" s="66"/>
      <c r="TW17" s="66"/>
      <c r="TX17" s="66"/>
      <c r="TY17" s="66"/>
      <c r="TZ17" s="66"/>
      <c r="UA17" s="66"/>
      <c r="UB17" s="66"/>
      <c r="UC17" s="66"/>
      <c r="UD17" s="66"/>
      <c r="UE17" s="66"/>
      <c r="UF17" s="66"/>
      <c r="UG17" s="66"/>
      <c r="UH17" s="66"/>
      <c r="UI17" s="66"/>
      <c r="UJ17" s="66"/>
      <c r="UK17" s="66"/>
      <c r="UL17" s="66"/>
      <c r="UM17" s="66"/>
      <c r="UN17" s="66"/>
      <c r="UO17" s="66"/>
      <c r="UP17" s="66"/>
      <c r="UQ17" s="66"/>
      <c r="UR17" s="66"/>
      <c r="US17" s="66"/>
      <c r="UT17" s="66"/>
      <c r="UU17" s="66"/>
      <c r="UV17" s="66"/>
      <c r="UW17" s="66"/>
      <c r="UX17" s="66"/>
      <c r="UY17" s="66"/>
      <c r="UZ17" s="66"/>
      <c r="VA17" s="66"/>
      <c r="VB17" s="66"/>
      <c r="VC17" s="66"/>
      <c r="VD17" s="66"/>
      <c r="VE17" s="66"/>
      <c r="VF17" s="66"/>
      <c r="VG17" s="66"/>
      <c r="VH17" s="66"/>
      <c r="VI17" s="66"/>
      <c r="VJ17" s="66"/>
      <c r="VK17" s="66"/>
      <c r="VL17" s="66"/>
      <c r="VM17" s="66"/>
      <c r="VN17" s="66"/>
      <c r="VO17" s="66"/>
      <c r="VP17" s="66"/>
      <c r="VQ17" s="66"/>
      <c r="VR17" s="66"/>
      <c r="VS17" s="66"/>
      <c r="VT17" s="66"/>
      <c r="VU17" s="66"/>
      <c r="VV17" s="66"/>
      <c r="VW17" s="66"/>
      <c r="VX17" s="66"/>
      <c r="VY17" s="66"/>
      <c r="VZ17" s="66"/>
      <c r="WA17" s="66"/>
      <c r="WB17" s="66"/>
      <c r="WC17" s="66"/>
      <c r="WD17" s="66"/>
      <c r="WE17" s="66"/>
      <c r="WF17" s="66"/>
      <c r="WG17" s="66"/>
      <c r="WH17" s="66"/>
      <c r="WI17" s="66"/>
      <c r="WJ17" s="66"/>
      <c r="WK17" s="66"/>
      <c r="WL17" s="66"/>
      <c r="WM17" s="66"/>
      <c r="WN17" s="66"/>
      <c r="WO17" s="66"/>
      <c r="WP17" s="66"/>
      <c r="WQ17" s="66"/>
      <c r="WR17" s="66"/>
      <c r="WS17" s="66"/>
      <c r="WT17" s="66"/>
      <c r="WU17" s="66"/>
      <c r="WV17" s="66"/>
      <c r="WW17" s="66"/>
      <c r="WX17" s="66"/>
      <c r="WY17" s="66"/>
      <c r="WZ17" s="66"/>
      <c r="XA17" s="66"/>
      <c r="XB17" s="66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66"/>
      <c r="XP17" s="66"/>
      <c r="XQ17" s="66"/>
      <c r="XR17" s="66"/>
      <c r="XS17" s="66"/>
      <c r="XT17" s="66"/>
      <c r="XU17" s="66"/>
      <c r="XV17" s="66"/>
      <c r="XW17" s="66"/>
      <c r="XX17" s="66"/>
      <c r="XY17" s="66"/>
      <c r="XZ17" s="66"/>
      <c r="YA17" s="66"/>
      <c r="YB17" s="66"/>
      <c r="YC17" s="66"/>
      <c r="YD17" s="66"/>
      <c r="YE17" s="66"/>
      <c r="YF17" s="66"/>
      <c r="YG17" s="66"/>
      <c r="YH17" s="66"/>
      <c r="YI17" s="66"/>
      <c r="YJ17" s="66"/>
      <c r="YK17" s="66"/>
      <c r="YL17" s="66"/>
      <c r="YM17" s="66"/>
      <c r="YN17" s="66"/>
      <c r="YO17" s="66"/>
      <c r="YP17" s="66"/>
      <c r="YQ17" s="66"/>
      <c r="YR17" s="66"/>
      <c r="YS17" s="66"/>
      <c r="YT17" s="66"/>
      <c r="YU17" s="66"/>
      <c r="YV17" s="66"/>
      <c r="YW17" s="66"/>
      <c r="YX17" s="66"/>
      <c r="YY17" s="66"/>
      <c r="YZ17" s="66"/>
      <c r="ZA17" s="66"/>
      <c r="ZB17" s="66"/>
      <c r="ZC17" s="66"/>
      <c r="ZD17" s="66"/>
      <c r="ZE17" s="66"/>
      <c r="ZF17" s="66"/>
      <c r="ZG17" s="66"/>
      <c r="ZH17" s="66"/>
      <c r="ZI17" s="66"/>
      <c r="ZJ17" s="66"/>
      <c r="ZK17" s="66"/>
      <c r="ZL17" s="66"/>
      <c r="ZM17" s="66"/>
      <c r="ZN17" s="66"/>
      <c r="ZO17" s="66"/>
      <c r="ZP17" s="66"/>
      <c r="ZQ17" s="66"/>
      <c r="ZR17" s="66"/>
      <c r="ZS17" s="66"/>
      <c r="ZT17" s="66"/>
      <c r="ZU17" s="66"/>
      <c r="ZV17" s="66"/>
      <c r="ZW17" s="66"/>
      <c r="ZX17" s="66"/>
      <c r="ZY17" s="66"/>
      <c r="ZZ17" s="66"/>
      <c r="AAA17" s="66"/>
      <c r="AAB17" s="66"/>
      <c r="AAC17" s="66"/>
      <c r="AAD17" s="66"/>
      <c r="AAE17" s="66"/>
      <c r="AAF17" s="66"/>
      <c r="AAG17" s="66"/>
      <c r="AAH17" s="66"/>
      <c r="AAI17" s="66"/>
      <c r="AAJ17" s="66"/>
      <c r="AAK17" s="66"/>
      <c r="AAL17" s="66"/>
      <c r="AAM17" s="66"/>
      <c r="AAN17" s="66"/>
      <c r="AAO17" s="66"/>
      <c r="AAP17" s="66"/>
      <c r="AAQ17" s="66"/>
      <c r="AAR17" s="66"/>
      <c r="AAS17" s="66"/>
      <c r="AAT17" s="66"/>
      <c r="AAU17" s="66"/>
      <c r="AAV17" s="66"/>
      <c r="AAW17" s="66"/>
      <c r="AAX17" s="66"/>
      <c r="AAY17" s="66"/>
      <c r="AAZ17" s="66"/>
      <c r="ABA17" s="66"/>
      <c r="ABB17" s="66"/>
      <c r="ABC17" s="66"/>
      <c r="ABD17" s="66"/>
      <c r="ABE17" s="66"/>
      <c r="ABF17" s="66"/>
      <c r="ABG17" s="66"/>
      <c r="ABH17" s="66"/>
      <c r="ABI17" s="66"/>
      <c r="ABJ17" s="66"/>
      <c r="ABK17" s="66"/>
      <c r="ABL17" s="66"/>
      <c r="ABM17" s="66"/>
      <c r="ABN17" s="66"/>
      <c r="ABO17" s="66"/>
      <c r="ABP17" s="66"/>
      <c r="ABQ17" s="66"/>
      <c r="ABR17" s="66"/>
      <c r="ABS17" s="66"/>
      <c r="ABT17" s="66"/>
      <c r="ABU17" s="66"/>
      <c r="ABV17" s="66"/>
      <c r="ABW17" s="66"/>
      <c r="ABX17" s="66"/>
      <c r="ABY17" s="66"/>
      <c r="ABZ17" s="66"/>
      <c r="ACA17" s="66"/>
      <c r="ACB17" s="66"/>
      <c r="ACC17" s="66"/>
      <c r="ACD17" s="66"/>
      <c r="ACE17" s="66"/>
      <c r="ACF17" s="66"/>
      <c r="ACG17" s="66"/>
      <c r="ACH17" s="66"/>
      <c r="ACI17" s="66"/>
      <c r="ACJ17" s="66"/>
      <c r="ACK17" s="66"/>
      <c r="ACL17" s="66"/>
      <c r="ACM17" s="66"/>
      <c r="ACN17" s="66"/>
      <c r="ACO17" s="66"/>
      <c r="ACP17" s="66"/>
      <c r="ACQ17" s="66"/>
      <c r="ACR17" s="66"/>
      <c r="ACS17" s="66"/>
      <c r="ACT17" s="66"/>
      <c r="ACU17" s="66"/>
      <c r="ACV17" s="66"/>
      <c r="ACW17" s="66"/>
      <c r="ACX17" s="66"/>
      <c r="ACY17" s="66"/>
      <c r="ACZ17" s="66"/>
      <c r="ADA17" s="66"/>
      <c r="ADB17" s="66"/>
      <c r="ADC17" s="66"/>
      <c r="ADD17" s="66"/>
      <c r="ADE17" s="66"/>
      <c r="ADF17" s="66"/>
      <c r="ADG17" s="66"/>
      <c r="ADH17" s="66"/>
      <c r="ADI17" s="66"/>
      <c r="ADJ17" s="66"/>
      <c r="ADK17" s="66"/>
      <c r="ADL17" s="66"/>
      <c r="ADM17" s="66"/>
      <c r="ADN17" s="66"/>
      <c r="ADO17" s="66"/>
      <c r="ADP17" s="66"/>
      <c r="ADQ17" s="66"/>
      <c r="ADR17" s="66"/>
      <c r="ADS17" s="66"/>
      <c r="ADT17" s="66"/>
      <c r="ADU17" s="66"/>
      <c r="ADV17" s="66"/>
      <c r="ADW17" s="66"/>
      <c r="ADX17" s="66"/>
      <c r="ADY17" s="66"/>
      <c r="ADZ17" s="66"/>
      <c r="AEA17" s="66"/>
      <c r="AEB17" s="66"/>
      <c r="AEC17" s="66"/>
      <c r="AED17" s="66"/>
      <c r="AEE17" s="66"/>
      <c r="AEF17" s="66"/>
      <c r="AEG17" s="66"/>
      <c r="AEH17" s="66"/>
      <c r="AEI17" s="66"/>
      <c r="AEJ17" s="66"/>
      <c r="AEK17" s="66"/>
      <c r="AEL17" s="66"/>
      <c r="AEM17" s="66"/>
      <c r="AEN17" s="66"/>
      <c r="AEO17" s="66"/>
      <c r="AEP17" s="66"/>
      <c r="AEQ17" s="66"/>
      <c r="AER17" s="66"/>
      <c r="AES17" s="66"/>
      <c r="AET17" s="66"/>
      <c r="AEU17" s="66"/>
      <c r="AEV17" s="66"/>
      <c r="AEW17" s="66"/>
      <c r="AEX17" s="66"/>
      <c r="AEY17" s="66"/>
      <c r="AEZ17" s="66"/>
      <c r="AFA17" s="66"/>
      <c r="AFB17" s="66"/>
      <c r="AFC17" s="66"/>
      <c r="AFD17" s="66"/>
      <c r="AFE17" s="66"/>
      <c r="AFF17" s="66"/>
      <c r="AFG17" s="66"/>
      <c r="AFH17" s="66"/>
      <c r="AFI17" s="66"/>
      <c r="AFJ17" s="66"/>
      <c r="AFK17" s="66"/>
      <c r="AFL17" s="66"/>
      <c r="AFM17" s="66"/>
      <c r="AFN17" s="66"/>
      <c r="AFO17" s="66"/>
      <c r="AFP17" s="66"/>
      <c r="AFQ17" s="66"/>
      <c r="AFR17" s="66"/>
      <c r="AFS17" s="66"/>
      <c r="AFT17" s="66"/>
      <c r="AFU17" s="66"/>
      <c r="AFV17" s="66"/>
      <c r="AFW17" s="66"/>
      <c r="AFX17" s="66"/>
      <c r="AFY17" s="66"/>
      <c r="AFZ17" s="66"/>
      <c r="AGA17" s="66"/>
      <c r="AGB17" s="66"/>
      <c r="AGC17" s="66"/>
      <c r="AGD17" s="66"/>
      <c r="AGE17" s="66"/>
      <c r="AGF17" s="66"/>
      <c r="AGG17" s="66"/>
      <c r="AGH17" s="66"/>
      <c r="AGI17" s="66"/>
      <c r="AGJ17" s="66"/>
      <c r="AGK17" s="66"/>
      <c r="AGL17" s="66"/>
      <c r="AGM17" s="66"/>
      <c r="AGN17" s="66"/>
      <c r="AGO17" s="66"/>
      <c r="AGP17" s="66"/>
      <c r="AGQ17" s="66"/>
      <c r="AGR17" s="66"/>
      <c r="AGS17" s="66"/>
      <c r="AGT17" s="66"/>
      <c r="AGU17" s="66"/>
      <c r="AGV17" s="66"/>
      <c r="AGW17" s="66"/>
      <c r="AGX17" s="66"/>
      <c r="AGY17" s="66"/>
      <c r="AGZ17" s="66"/>
      <c r="AHA17" s="66"/>
      <c r="AHB17" s="66"/>
      <c r="AHC17" s="66"/>
      <c r="AHD17" s="66"/>
      <c r="AHE17" s="66"/>
      <c r="AHF17" s="66"/>
      <c r="AHG17" s="66"/>
      <c r="AHH17" s="66"/>
      <c r="AHI17" s="66"/>
      <c r="AHJ17" s="66"/>
      <c r="AHK17" s="66"/>
      <c r="AHL17" s="66"/>
      <c r="AHM17" s="66"/>
      <c r="AHN17" s="66"/>
      <c r="AHO17" s="66"/>
      <c r="AHP17" s="66"/>
      <c r="AHQ17" s="66"/>
      <c r="AHR17" s="66"/>
      <c r="AHS17" s="66"/>
      <c r="AHT17" s="66"/>
      <c r="AHU17" s="66"/>
      <c r="AHV17" s="66"/>
      <c r="AHW17" s="66"/>
      <c r="AHX17" s="66"/>
      <c r="AHY17" s="66"/>
      <c r="AHZ17" s="66"/>
      <c r="AIA17" s="66"/>
      <c r="AIB17" s="66"/>
      <c r="AIC17" s="66"/>
      <c r="AID17" s="66"/>
      <c r="AIE17" s="66"/>
      <c r="AIF17" s="66"/>
      <c r="AIG17" s="66"/>
      <c r="AIH17" s="66"/>
      <c r="AII17" s="66"/>
      <c r="AIJ17" s="66"/>
      <c r="AIK17" s="66"/>
      <c r="AIL17" s="66"/>
      <c r="AIM17" s="66"/>
      <c r="AIN17" s="66"/>
      <c r="AIO17" s="66"/>
      <c r="AIP17" s="66"/>
      <c r="AIQ17" s="66"/>
      <c r="AIR17" s="66"/>
      <c r="AIS17" s="66"/>
      <c r="AIT17" s="66"/>
      <c r="AIU17" s="66"/>
      <c r="AIV17" s="66"/>
      <c r="AIW17" s="66"/>
      <c r="AIX17" s="66"/>
      <c r="AIY17" s="66"/>
      <c r="AIZ17" s="66"/>
      <c r="AJA17" s="66"/>
      <c r="AJB17" s="66"/>
      <c r="AJC17" s="66"/>
      <c r="AJD17" s="66"/>
      <c r="AJE17" s="66"/>
      <c r="AJF17" s="66"/>
      <c r="AJG17" s="66"/>
      <c r="AJH17" s="66"/>
      <c r="AJI17" s="66"/>
      <c r="AJJ17" s="66"/>
      <c r="AJK17" s="66"/>
      <c r="AJL17" s="66"/>
      <c r="AJM17" s="66"/>
      <c r="AJN17" s="66"/>
      <c r="AJO17" s="66"/>
      <c r="AJP17" s="66"/>
      <c r="AJQ17" s="66"/>
      <c r="AJR17" s="66"/>
      <c r="AJS17" s="66"/>
      <c r="AJT17" s="66"/>
      <c r="AJU17" s="66"/>
      <c r="AJV17" s="66"/>
      <c r="AJW17" s="66"/>
      <c r="AJX17" s="66"/>
      <c r="AJY17" s="66"/>
      <c r="AJZ17" s="66"/>
      <c r="AKA17" s="66"/>
      <c r="AKB17" s="66"/>
      <c r="AKC17" s="66"/>
      <c r="AKD17" s="66"/>
      <c r="AKE17" s="66"/>
      <c r="AKF17" s="66"/>
      <c r="AKG17" s="66"/>
      <c r="AKH17" s="66"/>
      <c r="AKI17" s="66"/>
      <c r="AKJ17" s="66"/>
      <c r="AKK17" s="66"/>
      <c r="AKL17" s="66"/>
      <c r="AKM17" s="66"/>
      <c r="AKN17" s="66"/>
      <c r="AKO17" s="66"/>
      <c r="AKP17" s="66"/>
      <c r="AKQ17" s="66"/>
      <c r="AKR17" s="66"/>
      <c r="AKS17" s="66"/>
      <c r="AKT17" s="66"/>
      <c r="AKU17" s="66"/>
      <c r="AKV17" s="66"/>
      <c r="AKW17" s="66"/>
      <c r="AKX17" s="66"/>
      <c r="AKY17" s="66"/>
      <c r="AKZ17" s="66"/>
      <c r="ALA17" s="66"/>
      <c r="ALB17" s="66"/>
      <c r="ALC17" s="66"/>
      <c r="ALD17" s="66"/>
      <c r="ALE17" s="66"/>
      <c r="ALF17" s="66"/>
      <c r="ALG17" s="66"/>
      <c r="ALH17" s="66"/>
      <c r="ALI17" s="66"/>
      <c r="ALJ17" s="66"/>
      <c r="ALK17" s="66"/>
      <c r="ALL17" s="66"/>
      <c r="ALM17" s="66"/>
      <c r="ALN17" s="66"/>
      <c r="ALO17" s="66"/>
      <c r="ALP17" s="66"/>
      <c r="ALQ17" s="66"/>
      <c r="ALR17" s="66"/>
      <c r="ALS17" s="66"/>
      <c r="ALT17" s="66"/>
      <c r="ALU17" s="66"/>
      <c r="ALV17" s="66"/>
      <c r="ALW17" s="66"/>
      <c r="ALX17" s="66"/>
      <c r="ALY17" s="66"/>
      <c r="ALZ17" s="66"/>
      <c r="AMA17" s="66"/>
      <c r="AMB17" s="66"/>
      <c r="AMC17" s="66"/>
      <c r="AMD17" s="66"/>
      <c r="AME17" s="66"/>
      <c r="AMF17" s="66"/>
      <c r="AMG17" s="66"/>
      <c r="AMH17" s="66"/>
      <c r="AMI17" s="66"/>
      <c r="AMJ17" s="66"/>
    </row>
    <row r="18" spans="1:1024" x14ac:dyDescent="0.25">
      <c r="A18" s="80" t="str">
        <f>IF($D$1&lt;&gt;"",A15+1,"")</f>
        <v/>
      </c>
      <c r="B18" s="81" t="str">
        <f>IF(Kielivalinta="Suomi","Toimi näin:",IF(Kielivalinta="Svenska","Gör så här:",""))</f>
        <v/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62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6"/>
      <c r="KD18" s="66"/>
      <c r="KE18" s="66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6"/>
      <c r="LS18" s="66"/>
      <c r="LT18" s="66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6"/>
      <c r="NH18" s="66"/>
      <c r="NI18" s="66"/>
      <c r="NJ18" s="66"/>
      <c r="NK18" s="66"/>
      <c r="NL18" s="66"/>
      <c r="NM18" s="66"/>
      <c r="NN18" s="66"/>
      <c r="NO18" s="66"/>
      <c r="NP18" s="66"/>
      <c r="NQ18" s="66"/>
      <c r="NR18" s="66"/>
      <c r="NS18" s="66"/>
      <c r="NT18" s="66"/>
      <c r="NU18" s="66"/>
      <c r="NV18" s="66"/>
      <c r="NW18" s="66"/>
      <c r="NX18" s="66"/>
      <c r="NY18" s="66"/>
      <c r="NZ18" s="66"/>
      <c r="OA18" s="66"/>
      <c r="OB18" s="66"/>
      <c r="OC18" s="66"/>
      <c r="OD18" s="66"/>
      <c r="OE18" s="66"/>
      <c r="OF18" s="66"/>
      <c r="OG18" s="66"/>
      <c r="OH18" s="66"/>
      <c r="OI18" s="66"/>
      <c r="OJ18" s="66"/>
      <c r="OK18" s="66"/>
      <c r="OL18" s="66"/>
      <c r="OM18" s="66"/>
      <c r="ON18" s="66"/>
      <c r="OO18" s="66"/>
      <c r="OP18" s="66"/>
      <c r="OQ18" s="66"/>
      <c r="OR18" s="66"/>
      <c r="OS18" s="66"/>
      <c r="OT18" s="66"/>
      <c r="OU18" s="66"/>
      <c r="OV18" s="66"/>
      <c r="OW18" s="66"/>
      <c r="OX18" s="66"/>
      <c r="OY18" s="66"/>
      <c r="OZ18" s="66"/>
      <c r="PA18" s="66"/>
      <c r="PB18" s="66"/>
      <c r="PC18" s="66"/>
      <c r="PD18" s="66"/>
      <c r="PE18" s="66"/>
      <c r="PF18" s="66"/>
      <c r="PG18" s="66"/>
      <c r="PH18" s="66"/>
      <c r="PI18" s="66"/>
      <c r="PJ18" s="66"/>
      <c r="PK18" s="66"/>
      <c r="PL18" s="66"/>
      <c r="PM18" s="66"/>
      <c r="PN18" s="66"/>
      <c r="PO18" s="66"/>
      <c r="PP18" s="66"/>
      <c r="PQ18" s="66"/>
      <c r="PR18" s="66"/>
      <c r="PS18" s="66"/>
      <c r="PT18" s="66"/>
      <c r="PU18" s="66"/>
      <c r="PV18" s="66"/>
      <c r="PW18" s="66"/>
      <c r="PX18" s="66"/>
      <c r="PY18" s="66"/>
      <c r="PZ18" s="66"/>
      <c r="QA18" s="66"/>
      <c r="QB18" s="66"/>
      <c r="QC18" s="66"/>
      <c r="QD18" s="66"/>
      <c r="QE18" s="66"/>
      <c r="QF18" s="66"/>
      <c r="QG18" s="66"/>
      <c r="QH18" s="66"/>
      <c r="QI18" s="66"/>
      <c r="QJ18" s="66"/>
      <c r="QK18" s="66"/>
      <c r="QL18" s="66"/>
      <c r="QM18" s="66"/>
      <c r="QN18" s="66"/>
      <c r="QO18" s="66"/>
      <c r="QP18" s="66"/>
      <c r="QQ18" s="66"/>
      <c r="QR18" s="66"/>
      <c r="QS18" s="66"/>
      <c r="QT18" s="66"/>
      <c r="QU18" s="66"/>
      <c r="QV18" s="66"/>
      <c r="QW18" s="66"/>
      <c r="QX18" s="66"/>
      <c r="QY18" s="66"/>
      <c r="QZ18" s="66"/>
      <c r="RA18" s="66"/>
      <c r="RB18" s="66"/>
      <c r="RC18" s="66"/>
      <c r="RD18" s="66"/>
      <c r="RE18" s="66"/>
      <c r="RF18" s="66"/>
      <c r="RG18" s="66"/>
      <c r="RH18" s="66"/>
      <c r="RI18" s="66"/>
      <c r="RJ18" s="66"/>
      <c r="RK18" s="66"/>
      <c r="RL18" s="66"/>
      <c r="RM18" s="66"/>
      <c r="RN18" s="66"/>
      <c r="RO18" s="66"/>
      <c r="RP18" s="66"/>
      <c r="RQ18" s="66"/>
      <c r="RR18" s="66"/>
      <c r="RS18" s="66"/>
      <c r="RT18" s="66"/>
      <c r="RU18" s="66"/>
      <c r="RV18" s="66"/>
      <c r="RW18" s="66"/>
      <c r="RX18" s="66"/>
      <c r="RY18" s="66"/>
      <c r="RZ18" s="66"/>
      <c r="SA18" s="66"/>
      <c r="SB18" s="66"/>
      <c r="SC18" s="66"/>
      <c r="SD18" s="66"/>
      <c r="SE18" s="66"/>
      <c r="SF18" s="66"/>
      <c r="SG18" s="66"/>
      <c r="SH18" s="66"/>
      <c r="SI18" s="66"/>
      <c r="SJ18" s="66"/>
      <c r="SK18" s="66"/>
      <c r="SL18" s="66"/>
      <c r="SM18" s="66"/>
      <c r="SN18" s="66"/>
      <c r="SO18" s="66"/>
      <c r="SP18" s="66"/>
      <c r="SQ18" s="66"/>
      <c r="SR18" s="66"/>
      <c r="SS18" s="66"/>
      <c r="ST18" s="66"/>
      <c r="SU18" s="66"/>
      <c r="SV18" s="66"/>
      <c r="SW18" s="66"/>
      <c r="SX18" s="66"/>
      <c r="SY18" s="66"/>
      <c r="SZ18" s="66"/>
      <c r="TA18" s="66"/>
      <c r="TB18" s="66"/>
      <c r="TC18" s="66"/>
      <c r="TD18" s="66"/>
      <c r="TE18" s="66"/>
      <c r="TF18" s="66"/>
      <c r="TG18" s="66"/>
      <c r="TH18" s="66"/>
      <c r="TI18" s="66"/>
      <c r="TJ18" s="66"/>
      <c r="TK18" s="66"/>
      <c r="TL18" s="66"/>
      <c r="TM18" s="66"/>
      <c r="TN18" s="66"/>
      <c r="TO18" s="66"/>
      <c r="TP18" s="66"/>
      <c r="TQ18" s="66"/>
      <c r="TR18" s="66"/>
      <c r="TS18" s="66"/>
      <c r="TT18" s="66"/>
      <c r="TU18" s="66"/>
      <c r="TV18" s="66"/>
      <c r="TW18" s="66"/>
      <c r="TX18" s="66"/>
      <c r="TY18" s="66"/>
      <c r="TZ18" s="66"/>
      <c r="UA18" s="66"/>
      <c r="UB18" s="66"/>
      <c r="UC18" s="66"/>
      <c r="UD18" s="66"/>
      <c r="UE18" s="66"/>
      <c r="UF18" s="66"/>
      <c r="UG18" s="66"/>
      <c r="UH18" s="66"/>
      <c r="UI18" s="66"/>
      <c r="UJ18" s="66"/>
      <c r="UK18" s="66"/>
      <c r="UL18" s="66"/>
      <c r="UM18" s="66"/>
      <c r="UN18" s="66"/>
      <c r="UO18" s="66"/>
      <c r="UP18" s="66"/>
      <c r="UQ18" s="66"/>
      <c r="UR18" s="66"/>
      <c r="US18" s="66"/>
      <c r="UT18" s="66"/>
      <c r="UU18" s="66"/>
      <c r="UV18" s="66"/>
      <c r="UW18" s="66"/>
      <c r="UX18" s="66"/>
      <c r="UY18" s="66"/>
      <c r="UZ18" s="66"/>
      <c r="VA18" s="66"/>
      <c r="VB18" s="66"/>
      <c r="VC18" s="66"/>
      <c r="VD18" s="66"/>
      <c r="VE18" s="66"/>
      <c r="VF18" s="66"/>
      <c r="VG18" s="66"/>
      <c r="VH18" s="66"/>
      <c r="VI18" s="66"/>
      <c r="VJ18" s="66"/>
      <c r="VK18" s="66"/>
      <c r="VL18" s="66"/>
      <c r="VM18" s="66"/>
      <c r="VN18" s="66"/>
      <c r="VO18" s="66"/>
      <c r="VP18" s="66"/>
      <c r="VQ18" s="66"/>
      <c r="VR18" s="66"/>
      <c r="VS18" s="66"/>
      <c r="VT18" s="66"/>
      <c r="VU18" s="66"/>
      <c r="VV18" s="66"/>
      <c r="VW18" s="66"/>
      <c r="VX18" s="66"/>
      <c r="VY18" s="66"/>
      <c r="VZ18" s="66"/>
      <c r="WA18" s="66"/>
      <c r="WB18" s="66"/>
      <c r="WC18" s="66"/>
      <c r="WD18" s="66"/>
      <c r="WE18" s="66"/>
      <c r="WF18" s="66"/>
      <c r="WG18" s="66"/>
      <c r="WH18" s="66"/>
      <c r="WI18" s="66"/>
      <c r="WJ18" s="66"/>
      <c r="WK18" s="66"/>
      <c r="WL18" s="66"/>
      <c r="WM18" s="66"/>
      <c r="WN18" s="66"/>
      <c r="WO18" s="66"/>
      <c r="WP18" s="66"/>
      <c r="WQ18" s="66"/>
      <c r="WR18" s="66"/>
      <c r="WS18" s="66"/>
      <c r="WT18" s="66"/>
      <c r="WU18" s="66"/>
      <c r="WV18" s="66"/>
      <c r="WW18" s="66"/>
      <c r="WX18" s="66"/>
      <c r="WY18" s="66"/>
      <c r="WZ18" s="66"/>
      <c r="XA18" s="66"/>
      <c r="XB18" s="66"/>
      <c r="XC18" s="66"/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66"/>
      <c r="XP18" s="66"/>
      <c r="XQ18" s="66"/>
      <c r="XR18" s="66"/>
      <c r="XS18" s="66"/>
      <c r="XT18" s="66"/>
      <c r="XU18" s="66"/>
      <c r="XV18" s="66"/>
      <c r="XW18" s="66"/>
      <c r="XX18" s="66"/>
      <c r="XY18" s="66"/>
      <c r="XZ18" s="66"/>
      <c r="YA18" s="66"/>
      <c r="YB18" s="66"/>
      <c r="YC18" s="66"/>
      <c r="YD18" s="66"/>
      <c r="YE18" s="66"/>
      <c r="YF18" s="66"/>
      <c r="YG18" s="66"/>
      <c r="YH18" s="66"/>
      <c r="YI18" s="66"/>
      <c r="YJ18" s="66"/>
      <c r="YK18" s="66"/>
      <c r="YL18" s="66"/>
      <c r="YM18" s="66"/>
      <c r="YN18" s="66"/>
      <c r="YO18" s="66"/>
      <c r="YP18" s="66"/>
      <c r="YQ18" s="66"/>
      <c r="YR18" s="66"/>
      <c r="YS18" s="66"/>
      <c r="YT18" s="66"/>
      <c r="YU18" s="66"/>
      <c r="YV18" s="66"/>
      <c r="YW18" s="66"/>
      <c r="YX18" s="66"/>
      <c r="YY18" s="66"/>
      <c r="YZ18" s="66"/>
      <c r="ZA18" s="66"/>
      <c r="ZB18" s="66"/>
      <c r="ZC18" s="66"/>
      <c r="ZD18" s="66"/>
      <c r="ZE18" s="66"/>
      <c r="ZF18" s="66"/>
      <c r="ZG18" s="66"/>
      <c r="ZH18" s="66"/>
      <c r="ZI18" s="66"/>
      <c r="ZJ18" s="66"/>
      <c r="ZK18" s="66"/>
      <c r="ZL18" s="66"/>
      <c r="ZM18" s="66"/>
      <c r="ZN18" s="66"/>
      <c r="ZO18" s="66"/>
      <c r="ZP18" s="66"/>
      <c r="ZQ18" s="66"/>
      <c r="ZR18" s="66"/>
      <c r="ZS18" s="66"/>
      <c r="ZT18" s="66"/>
      <c r="ZU18" s="66"/>
      <c r="ZV18" s="66"/>
      <c r="ZW18" s="66"/>
      <c r="ZX18" s="66"/>
      <c r="ZY18" s="66"/>
      <c r="ZZ18" s="66"/>
      <c r="AAA18" s="66"/>
      <c r="AAB18" s="66"/>
      <c r="AAC18" s="66"/>
      <c r="AAD18" s="66"/>
      <c r="AAE18" s="66"/>
      <c r="AAF18" s="66"/>
      <c r="AAG18" s="66"/>
      <c r="AAH18" s="66"/>
      <c r="AAI18" s="66"/>
      <c r="AAJ18" s="66"/>
      <c r="AAK18" s="66"/>
      <c r="AAL18" s="66"/>
      <c r="AAM18" s="66"/>
      <c r="AAN18" s="66"/>
      <c r="AAO18" s="66"/>
      <c r="AAP18" s="66"/>
      <c r="AAQ18" s="66"/>
      <c r="AAR18" s="66"/>
      <c r="AAS18" s="66"/>
      <c r="AAT18" s="66"/>
      <c r="AAU18" s="66"/>
      <c r="AAV18" s="66"/>
      <c r="AAW18" s="66"/>
      <c r="AAX18" s="66"/>
      <c r="AAY18" s="66"/>
      <c r="AAZ18" s="66"/>
      <c r="ABA18" s="66"/>
      <c r="ABB18" s="66"/>
      <c r="ABC18" s="66"/>
      <c r="ABD18" s="66"/>
      <c r="ABE18" s="66"/>
      <c r="ABF18" s="66"/>
      <c r="ABG18" s="66"/>
      <c r="ABH18" s="66"/>
      <c r="ABI18" s="66"/>
      <c r="ABJ18" s="66"/>
      <c r="ABK18" s="66"/>
      <c r="ABL18" s="66"/>
      <c r="ABM18" s="66"/>
      <c r="ABN18" s="66"/>
      <c r="ABO18" s="66"/>
      <c r="ABP18" s="66"/>
      <c r="ABQ18" s="66"/>
      <c r="ABR18" s="66"/>
      <c r="ABS18" s="66"/>
      <c r="ABT18" s="66"/>
      <c r="ABU18" s="66"/>
      <c r="ABV18" s="66"/>
      <c r="ABW18" s="66"/>
      <c r="ABX18" s="66"/>
      <c r="ABY18" s="66"/>
      <c r="ABZ18" s="66"/>
      <c r="ACA18" s="66"/>
      <c r="ACB18" s="66"/>
      <c r="ACC18" s="66"/>
      <c r="ACD18" s="66"/>
      <c r="ACE18" s="66"/>
      <c r="ACF18" s="66"/>
      <c r="ACG18" s="66"/>
      <c r="ACH18" s="66"/>
      <c r="ACI18" s="66"/>
      <c r="ACJ18" s="66"/>
      <c r="ACK18" s="66"/>
      <c r="ACL18" s="66"/>
      <c r="ACM18" s="66"/>
      <c r="ACN18" s="66"/>
      <c r="ACO18" s="66"/>
      <c r="ACP18" s="66"/>
      <c r="ACQ18" s="66"/>
      <c r="ACR18" s="66"/>
      <c r="ACS18" s="66"/>
      <c r="ACT18" s="66"/>
      <c r="ACU18" s="66"/>
      <c r="ACV18" s="66"/>
      <c r="ACW18" s="66"/>
      <c r="ACX18" s="66"/>
      <c r="ACY18" s="66"/>
      <c r="ACZ18" s="66"/>
      <c r="ADA18" s="66"/>
      <c r="ADB18" s="66"/>
      <c r="ADC18" s="66"/>
      <c r="ADD18" s="66"/>
      <c r="ADE18" s="66"/>
      <c r="ADF18" s="66"/>
      <c r="ADG18" s="66"/>
      <c r="ADH18" s="66"/>
      <c r="ADI18" s="66"/>
      <c r="ADJ18" s="66"/>
      <c r="ADK18" s="66"/>
      <c r="ADL18" s="66"/>
      <c r="ADM18" s="66"/>
      <c r="ADN18" s="66"/>
      <c r="ADO18" s="66"/>
      <c r="ADP18" s="66"/>
      <c r="ADQ18" s="66"/>
      <c r="ADR18" s="66"/>
      <c r="ADS18" s="66"/>
      <c r="ADT18" s="66"/>
      <c r="ADU18" s="66"/>
      <c r="ADV18" s="66"/>
      <c r="ADW18" s="66"/>
      <c r="ADX18" s="66"/>
      <c r="ADY18" s="66"/>
      <c r="ADZ18" s="66"/>
      <c r="AEA18" s="66"/>
      <c r="AEB18" s="66"/>
      <c r="AEC18" s="66"/>
      <c r="AED18" s="66"/>
      <c r="AEE18" s="66"/>
      <c r="AEF18" s="66"/>
      <c r="AEG18" s="66"/>
      <c r="AEH18" s="66"/>
      <c r="AEI18" s="66"/>
      <c r="AEJ18" s="66"/>
      <c r="AEK18" s="66"/>
      <c r="AEL18" s="66"/>
      <c r="AEM18" s="66"/>
      <c r="AEN18" s="66"/>
      <c r="AEO18" s="66"/>
      <c r="AEP18" s="66"/>
      <c r="AEQ18" s="66"/>
      <c r="AER18" s="66"/>
      <c r="AES18" s="66"/>
      <c r="AET18" s="66"/>
      <c r="AEU18" s="66"/>
      <c r="AEV18" s="66"/>
      <c r="AEW18" s="66"/>
      <c r="AEX18" s="66"/>
      <c r="AEY18" s="66"/>
      <c r="AEZ18" s="66"/>
      <c r="AFA18" s="66"/>
      <c r="AFB18" s="66"/>
      <c r="AFC18" s="66"/>
      <c r="AFD18" s="66"/>
      <c r="AFE18" s="66"/>
      <c r="AFF18" s="66"/>
      <c r="AFG18" s="66"/>
      <c r="AFH18" s="66"/>
      <c r="AFI18" s="66"/>
      <c r="AFJ18" s="66"/>
      <c r="AFK18" s="66"/>
      <c r="AFL18" s="66"/>
      <c r="AFM18" s="66"/>
      <c r="AFN18" s="66"/>
      <c r="AFO18" s="66"/>
      <c r="AFP18" s="66"/>
      <c r="AFQ18" s="66"/>
      <c r="AFR18" s="66"/>
      <c r="AFS18" s="66"/>
      <c r="AFT18" s="66"/>
      <c r="AFU18" s="66"/>
      <c r="AFV18" s="66"/>
      <c r="AFW18" s="66"/>
      <c r="AFX18" s="66"/>
      <c r="AFY18" s="66"/>
      <c r="AFZ18" s="66"/>
      <c r="AGA18" s="66"/>
      <c r="AGB18" s="66"/>
      <c r="AGC18" s="66"/>
      <c r="AGD18" s="66"/>
      <c r="AGE18" s="66"/>
      <c r="AGF18" s="66"/>
      <c r="AGG18" s="66"/>
      <c r="AGH18" s="66"/>
      <c r="AGI18" s="66"/>
      <c r="AGJ18" s="66"/>
      <c r="AGK18" s="66"/>
      <c r="AGL18" s="66"/>
      <c r="AGM18" s="66"/>
      <c r="AGN18" s="66"/>
      <c r="AGO18" s="66"/>
      <c r="AGP18" s="66"/>
      <c r="AGQ18" s="66"/>
      <c r="AGR18" s="66"/>
      <c r="AGS18" s="66"/>
      <c r="AGT18" s="66"/>
      <c r="AGU18" s="66"/>
      <c r="AGV18" s="66"/>
      <c r="AGW18" s="66"/>
      <c r="AGX18" s="66"/>
      <c r="AGY18" s="66"/>
      <c r="AGZ18" s="66"/>
      <c r="AHA18" s="66"/>
      <c r="AHB18" s="66"/>
      <c r="AHC18" s="66"/>
      <c r="AHD18" s="66"/>
      <c r="AHE18" s="66"/>
      <c r="AHF18" s="66"/>
      <c r="AHG18" s="66"/>
      <c r="AHH18" s="66"/>
      <c r="AHI18" s="66"/>
      <c r="AHJ18" s="66"/>
      <c r="AHK18" s="66"/>
      <c r="AHL18" s="66"/>
      <c r="AHM18" s="66"/>
      <c r="AHN18" s="66"/>
      <c r="AHO18" s="66"/>
      <c r="AHP18" s="66"/>
      <c r="AHQ18" s="66"/>
      <c r="AHR18" s="66"/>
      <c r="AHS18" s="66"/>
      <c r="AHT18" s="66"/>
      <c r="AHU18" s="66"/>
      <c r="AHV18" s="66"/>
      <c r="AHW18" s="66"/>
      <c r="AHX18" s="66"/>
      <c r="AHY18" s="66"/>
      <c r="AHZ18" s="66"/>
      <c r="AIA18" s="66"/>
      <c r="AIB18" s="66"/>
      <c r="AIC18" s="66"/>
      <c r="AID18" s="66"/>
      <c r="AIE18" s="66"/>
      <c r="AIF18" s="66"/>
      <c r="AIG18" s="66"/>
      <c r="AIH18" s="66"/>
      <c r="AII18" s="66"/>
      <c r="AIJ18" s="66"/>
      <c r="AIK18" s="66"/>
      <c r="AIL18" s="66"/>
      <c r="AIM18" s="66"/>
      <c r="AIN18" s="66"/>
      <c r="AIO18" s="66"/>
      <c r="AIP18" s="66"/>
      <c r="AIQ18" s="66"/>
      <c r="AIR18" s="66"/>
      <c r="AIS18" s="66"/>
      <c r="AIT18" s="66"/>
      <c r="AIU18" s="66"/>
      <c r="AIV18" s="66"/>
      <c r="AIW18" s="66"/>
      <c r="AIX18" s="66"/>
      <c r="AIY18" s="66"/>
      <c r="AIZ18" s="66"/>
      <c r="AJA18" s="66"/>
      <c r="AJB18" s="66"/>
      <c r="AJC18" s="66"/>
      <c r="AJD18" s="66"/>
      <c r="AJE18" s="66"/>
      <c r="AJF18" s="66"/>
      <c r="AJG18" s="66"/>
      <c r="AJH18" s="66"/>
      <c r="AJI18" s="66"/>
      <c r="AJJ18" s="66"/>
      <c r="AJK18" s="66"/>
      <c r="AJL18" s="66"/>
      <c r="AJM18" s="66"/>
      <c r="AJN18" s="66"/>
      <c r="AJO18" s="66"/>
      <c r="AJP18" s="66"/>
      <c r="AJQ18" s="66"/>
      <c r="AJR18" s="66"/>
      <c r="AJS18" s="66"/>
      <c r="AJT18" s="66"/>
      <c r="AJU18" s="66"/>
      <c r="AJV18" s="66"/>
      <c r="AJW18" s="66"/>
      <c r="AJX18" s="66"/>
      <c r="AJY18" s="66"/>
      <c r="AJZ18" s="66"/>
      <c r="AKA18" s="66"/>
      <c r="AKB18" s="66"/>
      <c r="AKC18" s="66"/>
      <c r="AKD18" s="66"/>
      <c r="AKE18" s="66"/>
      <c r="AKF18" s="66"/>
      <c r="AKG18" s="66"/>
      <c r="AKH18" s="66"/>
      <c r="AKI18" s="66"/>
      <c r="AKJ18" s="66"/>
      <c r="AKK18" s="66"/>
      <c r="AKL18" s="66"/>
      <c r="AKM18" s="66"/>
      <c r="AKN18" s="66"/>
      <c r="AKO18" s="66"/>
      <c r="AKP18" s="66"/>
      <c r="AKQ18" s="66"/>
      <c r="AKR18" s="66"/>
      <c r="AKS18" s="66"/>
      <c r="AKT18" s="66"/>
      <c r="AKU18" s="66"/>
      <c r="AKV18" s="66"/>
      <c r="AKW18" s="66"/>
      <c r="AKX18" s="66"/>
      <c r="AKY18" s="66"/>
      <c r="AKZ18" s="66"/>
      <c r="ALA18" s="66"/>
      <c r="ALB18" s="66"/>
      <c r="ALC18" s="66"/>
      <c r="ALD18" s="66"/>
      <c r="ALE18" s="66"/>
      <c r="ALF18" s="66"/>
      <c r="ALG18" s="66"/>
      <c r="ALH18" s="66"/>
      <c r="ALI18" s="66"/>
      <c r="ALJ18" s="66"/>
      <c r="ALK18" s="66"/>
      <c r="ALL18" s="66"/>
      <c r="ALM18" s="66"/>
      <c r="ALN18" s="66"/>
      <c r="ALO18" s="66"/>
      <c r="ALP18" s="66"/>
      <c r="ALQ18" s="66"/>
      <c r="ALR18" s="66"/>
      <c r="ALS18" s="66"/>
      <c r="ALT18" s="66"/>
      <c r="ALU18" s="66"/>
      <c r="ALV18" s="66"/>
      <c r="ALW18" s="66"/>
      <c r="ALX18" s="66"/>
      <c r="ALY18" s="66"/>
      <c r="ALZ18" s="66"/>
      <c r="AMA18" s="66"/>
      <c r="AMB18" s="66"/>
      <c r="AMC18" s="66"/>
      <c r="AMD18" s="66"/>
      <c r="AME18" s="66"/>
      <c r="AMF18" s="66"/>
      <c r="AMG18" s="66"/>
      <c r="AMH18" s="66"/>
      <c r="AMI18" s="66"/>
      <c r="AMJ18" s="66"/>
    </row>
    <row r="19" spans="1:1024" x14ac:dyDescent="0.25">
      <c r="A19" s="92"/>
      <c r="B19" s="90" t="str">
        <f>IF(D1&lt;&gt;"",$A$18&amp;" a","")</f>
        <v/>
      </c>
      <c r="C19" s="91" t="str">
        <f>IF(Kielivalinta="Suomi","Valitse sarakkeet B ja C taulussa ["&amp;Data!B1&amp;"] - älä koske A-sarakkeeseen (ks. poikkeus kohdassa 9).",IF(Kielivalinta="Svenska","Markera kolumnerna B och C i tabellen ["&amp;Data!B1&amp;"] - rör inte kolumnen A (se undantag i punkt 9). ",""))</f>
        <v/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62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66"/>
      <c r="KF19" s="66"/>
      <c r="KG19" s="66"/>
      <c r="KH19" s="66"/>
      <c r="KI19" s="66"/>
      <c r="KJ19" s="66"/>
      <c r="KK19" s="66"/>
      <c r="KL19" s="66"/>
      <c r="KM19" s="66"/>
      <c r="KN19" s="66"/>
      <c r="KO19" s="66"/>
      <c r="KP19" s="66"/>
      <c r="KQ19" s="66"/>
      <c r="KR19" s="66"/>
      <c r="KS19" s="66"/>
      <c r="KT19" s="66"/>
      <c r="KU19" s="66"/>
      <c r="KV19" s="66"/>
      <c r="KW19" s="66"/>
      <c r="KX19" s="66"/>
      <c r="KY19" s="66"/>
      <c r="KZ19" s="66"/>
      <c r="LA19" s="66"/>
      <c r="LB19" s="66"/>
      <c r="LC19" s="66"/>
      <c r="LD19" s="66"/>
      <c r="LE19" s="66"/>
      <c r="LF19" s="66"/>
      <c r="LG19" s="66"/>
      <c r="LH19" s="66"/>
      <c r="LI19" s="66"/>
      <c r="LJ19" s="66"/>
      <c r="LK19" s="66"/>
      <c r="LL19" s="66"/>
      <c r="LM19" s="66"/>
      <c r="LN19" s="66"/>
      <c r="LO19" s="66"/>
      <c r="LP19" s="66"/>
      <c r="LQ19" s="66"/>
      <c r="LR19" s="66"/>
      <c r="LS19" s="66"/>
      <c r="LT19" s="66"/>
      <c r="LU19" s="66"/>
      <c r="LV19" s="66"/>
      <c r="LW19" s="66"/>
      <c r="LX19" s="66"/>
      <c r="LY19" s="66"/>
      <c r="LZ19" s="66"/>
      <c r="MA19" s="66"/>
      <c r="MB19" s="66"/>
      <c r="MC19" s="66"/>
      <c r="MD19" s="66"/>
      <c r="ME19" s="66"/>
      <c r="MF19" s="66"/>
      <c r="MG19" s="66"/>
      <c r="MH19" s="66"/>
      <c r="MI19" s="66"/>
      <c r="MJ19" s="66"/>
      <c r="MK19" s="66"/>
      <c r="ML19" s="66"/>
      <c r="MM19" s="66"/>
      <c r="MN19" s="66"/>
      <c r="MO19" s="66"/>
      <c r="MP19" s="66"/>
      <c r="MQ19" s="66"/>
      <c r="MR19" s="66"/>
      <c r="MS19" s="66"/>
      <c r="MT19" s="66"/>
      <c r="MU19" s="66"/>
      <c r="MV19" s="66"/>
      <c r="MW19" s="66"/>
      <c r="MX19" s="66"/>
      <c r="MY19" s="66"/>
      <c r="MZ19" s="66"/>
      <c r="NA19" s="66"/>
      <c r="NB19" s="66"/>
      <c r="NC19" s="66"/>
      <c r="ND19" s="66"/>
      <c r="NE19" s="66"/>
      <c r="NF19" s="66"/>
      <c r="NG19" s="66"/>
      <c r="NH19" s="66"/>
      <c r="NI19" s="66"/>
      <c r="NJ19" s="66"/>
      <c r="NK19" s="66"/>
      <c r="NL19" s="66"/>
      <c r="NM19" s="66"/>
      <c r="NN19" s="66"/>
      <c r="NO19" s="66"/>
      <c r="NP19" s="66"/>
      <c r="NQ19" s="66"/>
      <c r="NR19" s="66"/>
      <c r="NS19" s="66"/>
      <c r="NT19" s="66"/>
      <c r="NU19" s="66"/>
      <c r="NV19" s="66"/>
      <c r="NW19" s="66"/>
      <c r="NX19" s="66"/>
      <c r="NY19" s="66"/>
      <c r="NZ19" s="66"/>
      <c r="OA19" s="66"/>
      <c r="OB19" s="66"/>
      <c r="OC19" s="66"/>
      <c r="OD19" s="66"/>
      <c r="OE19" s="66"/>
      <c r="OF19" s="66"/>
      <c r="OG19" s="66"/>
      <c r="OH19" s="66"/>
      <c r="OI19" s="66"/>
      <c r="OJ19" s="66"/>
      <c r="OK19" s="66"/>
      <c r="OL19" s="66"/>
      <c r="OM19" s="66"/>
      <c r="ON19" s="66"/>
      <c r="OO19" s="66"/>
      <c r="OP19" s="66"/>
      <c r="OQ19" s="66"/>
      <c r="OR19" s="66"/>
      <c r="OS19" s="66"/>
      <c r="OT19" s="66"/>
      <c r="OU19" s="66"/>
      <c r="OV19" s="66"/>
      <c r="OW19" s="66"/>
      <c r="OX19" s="66"/>
      <c r="OY19" s="66"/>
      <c r="OZ19" s="66"/>
      <c r="PA19" s="66"/>
      <c r="PB19" s="66"/>
      <c r="PC19" s="66"/>
      <c r="PD19" s="66"/>
      <c r="PE19" s="66"/>
      <c r="PF19" s="66"/>
      <c r="PG19" s="66"/>
      <c r="PH19" s="66"/>
      <c r="PI19" s="66"/>
      <c r="PJ19" s="66"/>
      <c r="PK19" s="66"/>
      <c r="PL19" s="66"/>
      <c r="PM19" s="66"/>
      <c r="PN19" s="66"/>
      <c r="PO19" s="66"/>
      <c r="PP19" s="66"/>
      <c r="PQ19" s="66"/>
      <c r="PR19" s="66"/>
      <c r="PS19" s="66"/>
      <c r="PT19" s="66"/>
      <c r="PU19" s="66"/>
      <c r="PV19" s="66"/>
      <c r="PW19" s="66"/>
      <c r="PX19" s="66"/>
      <c r="PY19" s="66"/>
      <c r="PZ19" s="66"/>
      <c r="QA19" s="66"/>
      <c r="QB19" s="66"/>
      <c r="QC19" s="66"/>
      <c r="QD19" s="66"/>
      <c r="QE19" s="66"/>
      <c r="QF19" s="66"/>
      <c r="QG19" s="66"/>
      <c r="QH19" s="66"/>
      <c r="QI19" s="66"/>
      <c r="QJ19" s="66"/>
      <c r="QK19" s="66"/>
      <c r="QL19" s="66"/>
      <c r="QM19" s="66"/>
      <c r="QN19" s="66"/>
      <c r="QO19" s="66"/>
      <c r="QP19" s="66"/>
      <c r="QQ19" s="66"/>
      <c r="QR19" s="66"/>
      <c r="QS19" s="66"/>
      <c r="QT19" s="66"/>
      <c r="QU19" s="66"/>
      <c r="QV19" s="66"/>
      <c r="QW19" s="66"/>
      <c r="QX19" s="66"/>
      <c r="QY19" s="66"/>
      <c r="QZ19" s="66"/>
      <c r="RA19" s="66"/>
      <c r="RB19" s="66"/>
      <c r="RC19" s="66"/>
      <c r="RD19" s="66"/>
      <c r="RE19" s="66"/>
      <c r="RF19" s="66"/>
      <c r="RG19" s="66"/>
      <c r="RH19" s="66"/>
      <c r="RI19" s="66"/>
      <c r="RJ19" s="66"/>
      <c r="RK19" s="66"/>
      <c r="RL19" s="66"/>
      <c r="RM19" s="66"/>
      <c r="RN19" s="66"/>
      <c r="RO19" s="66"/>
      <c r="RP19" s="66"/>
      <c r="RQ19" s="66"/>
      <c r="RR19" s="66"/>
      <c r="RS19" s="66"/>
      <c r="RT19" s="66"/>
      <c r="RU19" s="66"/>
      <c r="RV19" s="66"/>
      <c r="RW19" s="66"/>
      <c r="RX19" s="66"/>
      <c r="RY19" s="66"/>
      <c r="RZ19" s="66"/>
      <c r="SA19" s="66"/>
      <c r="SB19" s="66"/>
      <c r="SC19" s="66"/>
      <c r="SD19" s="66"/>
      <c r="SE19" s="66"/>
      <c r="SF19" s="66"/>
      <c r="SG19" s="66"/>
      <c r="SH19" s="66"/>
      <c r="SI19" s="66"/>
      <c r="SJ19" s="66"/>
      <c r="SK19" s="66"/>
      <c r="SL19" s="66"/>
      <c r="SM19" s="66"/>
      <c r="SN19" s="66"/>
      <c r="SO19" s="66"/>
      <c r="SP19" s="66"/>
      <c r="SQ19" s="66"/>
      <c r="SR19" s="66"/>
      <c r="SS19" s="66"/>
      <c r="ST19" s="66"/>
      <c r="SU19" s="66"/>
      <c r="SV19" s="66"/>
      <c r="SW19" s="66"/>
      <c r="SX19" s="66"/>
      <c r="SY19" s="66"/>
      <c r="SZ19" s="66"/>
      <c r="TA19" s="66"/>
      <c r="TB19" s="66"/>
      <c r="TC19" s="66"/>
      <c r="TD19" s="66"/>
      <c r="TE19" s="66"/>
      <c r="TF19" s="66"/>
      <c r="TG19" s="66"/>
      <c r="TH19" s="66"/>
      <c r="TI19" s="66"/>
      <c r="TJ19" s="66"/>
      <c r="TK19" s="66"/>
      <c r="TL19" s="66"/>
      <c r="TM19" s="66"/>
      <c r="TN19" s="66"/>
      <c r="TO19" s="66"/>
      <c r="TP19" s="66"/>
      <c r="TQ19" s="66"/>
      <c r="TR19" s="66"/>
      <c r="TS19" s="66"/>
      <c r="TT19" s="66"/>
      <c r="TU19" s="66"/>
      <c r="TV19" s="66"/>
      <c r="TW19" s="66"/>
      <c r="TX19" s="66"/>
      <c r="TY19" s="66"/>
      <c r="TZ19" s="66"/>
      <c r="UA19" s="66"/>
      <c r="UB19" s="66"/>
      <c r="UC19" s="66"/>
      <c r="UD19" s="66"/>
      <c r="UE19" s="66"/>
      <c r="UF19" s="66"/>
      <c r="UG19" s="66"/>
      <c r="UH19" s="66"/>
      <c r="UI19" s="66"/>
      <c r="UJ19" s="66"/>
      <c r="UK19" s="66"/>
      <c r="UL19" s="66"/>
      <c r="UM19" s="66"/>
      <c r="UN19" s="66"/>
      <c r="UO19" s="66"/>
      <c r="UP19" s="66"/>
      <c r="UQ19" s="66"/>
      <c r="UR19" s="66"/>
      <c r="US19" s="66"/>
      <c r="UT19" s="66"/>
      <c r="UU19" s="66"/>
      <c r="UV19" s="66"/>
      <c r="UW19" s="66"/>
      <c r="UX19" s="66"/>
      <c r="UY19" s="66"/>
      <c r="UZ19" s="66"/>
      <c r="VA19" s="66"/>
      <c r="VB19" s="66"/>
      <c r="VC19" s="66"/>
      <c r="VD19" s="66"/>
      <c r="VE19" s="66"/>
      <c r="VF19" s="66"/>
      <c r="VG19" s="66"/>
      <c r="VH19" s="66"/>
      <c r="VI19" s="66"/>
      <c r="VJ19" s="66"/>
      <c r="VK19" s="66"/>
      <c r="VL19" s="66"/>
      <c r="VM19" s="66"/>
      <c r="VN19" s="66"/>
      <c r="VO19" s="66"/>
      <c r="VP19" s="66"/>
      <c r="VQ19" s="66"/>
      <c r="VR19" s="66"/>
      <c r="VS19" s="66"/>
      <c r="VT19" s="66"/>
      <c r="VU19" s="66"/>
      <c r="VV19" s="66"/>
      <c r="VW19" s="66"/>
      <c r="VX19" s="66"/>
      <c r="VY19" s="66"/>
      <c r="VZ19" s="66"/>
      <c r="WA19" s="66"/>
      <c r="WB19" s="66"/>
      <c r="WC19" s="66"/>
      <c r="WD19" s="66"/>
      <c r="WE19" s="66"/>
      <c r="WF19" s="66"/>
      <c r="WG19" s="66"/>
      <c r="WH19" s="66"/>
      <c r="WI19" s="66"/>
      <c r="WJ19" s="66"/>
      <c r="WK19" s="66"/>
      <c r="WL19" s="66"/>
      <c r="WM19" s="66"/>
      <c r="WN19" s="66"/>
      <c r="WO19" s="66"/>
      <c r="WP19" s="66"/>
      <c r="WQ19" s="66"/>
      <c r="WR19" s="66"/>
      <c r="WS19" s="66"/>
      <c r="WT19" s="66"/>
      <c r="WU19" s="66"/>
      <c r="WV19" s="66"/>
      <c r="WW19" s="66"/>
      <c r="WX19" s="66"/>
      <c r="WY19" s="66"/>
      <c r="WZ19" s="66"/>
      <c r="XA19" s="66"/>
      <c r="XB19" s="66"/>
      <c r="XC19" s="66"/>
      <c r="XD19" s="66"/>
      <c r="XE19" s="66"/>
      <c r="XF19" s="66"/>
      <c r="XG19" s="66"/>
      <c r="XH19" s="66"/>
      <c r="XI19" s="66"/>
      <c r="XJ19" s="66"/>
      <c r="XK19" s="66"/>
      <c r="XL19" s="66"/>
      <c r="XM19" s="66"/>
      <c r="XN19" s="66"/>
      <c r="XO19" s="66"/>
      <c r="XP19" s="66"/>
      <c r="XQ19" s="66"/>
      <c r="XR19" s="66"/>
      <c r="XS19" s="66"/>
      <c r="XT19" s="66"/>
      <c r="XU19" s="66"/>
      <c r="XV19" s="66"/>
      <c r="XW19" s="66"/>
      <c r="XX19" s="66"/>
      <c r="XY19" s="66"/>
      <c r="XZ19" s="66"/>
      <c r="YA19" s="66"/>
      <c r="YB19" s="66"/>
      <c r="YC19" s="66"/>
      <c r="YD19" s="66"/>
      <c r="YE19" s="66"/>
      <c r="YF19" s="66"/>
      <c r="YG19" s="66"/>
      <c r="YH19" s="66"/>
      <c r="YI19" s="66"/>
      <c r="YJ19" s="66"/>
      <c r="YK19" s="66"/>
      <c r="YL19" s="66"/>
      <c r="YM19" s="66"/>
      <c r="YN19" s="66"/>
      <c r="YO19" s="66"/>
      <c r="YP19" s="66"/>
      <c r="YQ19" s="66"/>
      <c r="YR19" s="66"/>
      <c r="YS19" s="66"/>
      <c r="YT19" s="66"/>
      <c r="YU19" s="66"/>
      <c r="YV19" s="66"/>
      <c r="YW19" s="66"/>
      <c r="YX19" s="66"/>
      <c r="YY19" s="66"/>
      <c r="YZ19" s="66"/>
      <c r="ZA19" s="66"/>
      <c r="ZB19" s="66"/>
      <c r="ZC19" s="66"/>
      <c r="ZD19" s="66"/>
      <c r="ZE19" s="66"/>
      <c r="ZF19" s="66"/>
      <c r="ZG19" s="66"/>
      <c r="ZH19" s="66"/>
      <c r="ZI19" s="66"/>
      <c r="ZJ19" s="66"/>
      <c r="ZK19" s="66"/>
      <c r="ZL19" s="66"/>
      <c r="ZM19" s="66"/>
      <c r="ZN19" s="66"/>
      <c r="ZO19" s="66"/>
      <c r="ZP19" s="66"/>
      <c r="ZQ19" s="66"/>
      <c r="ZR19" s="66"/>
      <c r="ZS19" s="66"/>
      <c r="ZT19" s="66"/>
      <c r="ZU19" s="66"/>
      <c r="ZV19" s="66"/>
      <c r="ZW19" s="66"/>
      <c r="ZX19" s="66"/>
      <c r="ZY19" s="66"/>
      <c r="ZZ19" s="66"/>
      <c r="AAA19" s="66"/>
      <c r="AAB19" s="66"/>
      <c r="AAC19" s="66"/>
      <c r="AAD19" s="66"/>
      <c r="AAE19" s="66"/>
      <c r="AAF19" s="66"/>
      <c r="AAG19" s="66"/>
      <c r="AAH19" s="66"/>
      <c r="AAI19" s="66"/>
      <c r="AAJ19" s="66"/>
      <c r="AAK19" s="66"/>
      <c r="AAL19" s="66"/>
      <c r="AAM19" s="66"/>
      <c r="AAN19" s="66"/>
      <c r="AAO19" s="66"/>
      <c r="AAP19" s="66"/>
      <c r="AAQ19" s="66"/>
      <c r="AAR19" s="66"/>
      <c r="AAS19" s="66"/>
      <c r="AAT19" s="66"/>
      <c r="AAU19" s="66"/>
      <c r="AAV19" s="66"/>
      <c r="AAW19" s="66"/>
      <c r="AAX19" s="66"/>
      <c r="AAY19" s="66"/>
      <c r="AAZ19" s="66"/>
      <c r="ABA19" s="66"/>
      <c r="ABB19" s="66"/>
      <c r="ABC19" s="66"/>
      <c r="ABD19" s="66"/>
      <c r="ABE19" s="66"/>
      <c r="ABF19" s="66"/>
      <c r="ABG19" s="66"/>
      <c r="ABH19" s="66"/>
      <c r="ABI19" s="66"/>
      <c r="ABJ19" s="66"/>
      <c r="ABK19" s="66"/>
      <c r="ABL19" s="66"/>
      <c r="ABM19" s="66"/>
      <c r="ABN19" s="66"/>
      <c r="ABO19" s="66"/>
      <c r="ABP19" s="66"/>
      <c r="ABQ19" s="66"/>
      <c r="ABR19" s="66"/>
      <c r="ABS19" s="66"/>
      <c r="ABT19" s="66"/>
      <c r="ABU19" s="66"/>
      <c r="ABV19" s="66"/>
      <c r="ABW19" s="66"/>
      <c r="ABX19" s="66"/>
      <c r="ABY19" s="66"/>
      <c r="ABZ19" s="66"/>
      <c r="ACA19" s="66"/>
      <c r="ACB19" s="66"/>
      <c r="ACC19" s="66"/>
      <c r="ACD19" s="66"/>
      <c r="ACE19" s="66"/>
      <c r="ACF19" s="66"/>
      <c r="ACG19" s="66"/>
      <c r="ACH19" s="66"/>
      <c r="ACI19" s="66"/>
      <c r="ACJ19" s="66"/>
      <c r="ACK19" s="66"/>
      <c r="ACL19" s="66"/>
      <c r="ACM19" s="66"/>
      <c r="ACN19" s="66"/>
      <c r="ACO19" s="66"/>
      <c r="ACP19" s="66"/>
      <c r="ACQ19" s="66"/>
      <c r="ACR19" s="66"/>
      <c r="ACS19" s="66"/>
      <c r="ACT19" s="66"/>
      <c r="ACU19" s="66"/>
      <c r="ACV19" s="66"/>
      <c r="ACW19" s="66"/>
      <c r="ACX19" s="66"/>
      <c r="ACY19" s="66"/>
      <c r="ACZ19" s="66"/>
      <c r="ADA19" s="66"/>
      <c r="ADB19" s="66"/>
      <c r="ADC19" s="66"/>
      <c r="ADD19" s="66"/>
      <c r="ADE19" s="66"/>
      <c r="ADF19" s="66"/>
      <c r="ADG19" s="66"/>
      <c r="ADH19" s="66"/>
      <c r="ADI19" s="66"/>
      <c r="ADJ19" s="66"/>
      <c r="ADK19" s="66"/>
      <c r="ADL19" s="66"/>
      <c r="ADM19" s="66"/>
      <c r="ADN19" s="66"/>
      <c r="ADO19" s="66"/>
      <c r="ADP19" s="66"/>
      <c r="ADQ19" s="66"/>
      <c r="ADR19" s="66"/>
      <c r="ADS19" s="66"/>
      <c r="ADT19" s="66"/>
      <c r="ADU19" s="66"/>
      <c r="ADV19" s="66"/>
      <c r="ADW19" s="66"/>
      <c r="ADX19" s="66"/>
      <c r="ADY19" s="66"/>
      <c r="ADZ19" s="66"/>
      <c r="AEA19" s="66"/>
      <c r="AEB19" s="66"/>
      <c r="AEC19" s="66"/>
      <c r="AED19" s="66"/>
      <c r="AEE19" s="66"/>
      <c r="AEF19" s="66"/>
      <c r="AEG19" s="66"/>
      <c r="AEH19" s="66"/>
      <c r="AEI19" s="66"/>
      <c r="AEJ19" s="66"/>
      <c r="AEK19" s="66"/>
      <c r="AEL19" s="66"/>
      <c r="AEM19" s="66"/>
      <c r="AEN19" s="66"/>
      <c r="AEO19" s="66"/>
      <c r="AEP19" s="66"/>
      <c r="AEQ19" s="66"/>
      <c r="AER19" s="66"/>
      <c r="AES19" s="66"/>
      <c r="AET19" s="66"/>
      <c r="AEU19" s="66"/>
      <c r="AEV19" s="66"/>
      <c r="AEW19" s="66"/>
      <c r="AEX19" s="66"/>
      <c r="AEY19" s="66"/>
      <c r="AEZ19" s="66"/>
      <c r="AFA19" s="66"/>
      <c r="AFB19" s="66"/>
      <c r="AFC19" s="66"/>
      <c r="AFD19" s="66"/>
      <c r="AFE19" s="66"/>
      <c r="AFF19" s="66"/>
      <c r="AFG19" s="66"/>
      <c r="AFH19" s="66"/>
      <c r="AFI19" s="66"/>
      <c r="AFJ19" s="66"/>
      <c r="AFK19" s="66"/>
      <c r="AFL19" s="66"/>
      <c r="AFM19" s="66"/>
      <c r="AFN19" s="66"/>
      <c r="AFO19" s="66"/>
      <c r="AFP19" s="66"/>
      <c r="AFQ19" s="66"/>
      <c r="AFR19" s="66"/>
      <c r="AFS19" s="66"/>
      <c r="AFT19" s="66"/>
      <c r="AFU19" s="66"/>
      <c r="AFV19" s="66"/>
      <c r="AFW19" s="66"/>
      <c r="AFX19" s="66"/>
      <c r="AFY19" s="66"/>
      <c r="AFZ19" s="66"/>
      <c r="AGA19" s="66"/>
      <c r="AGB19" s="66"/>
      <c r="AGC19" s="66"/>
      <c r="AGD19" s="66"/>
      <c r="AGE19" s="66"/>
      <c r="AGF19" s="66"/>
      <c r="AGG19" s="66"/>
      <c r="AGH19" s="66"/>
      <c r="AGI19" s="66"/>
      <c r="AGJ19" s="66"/>
      <c r="AGK19" s="66"/>
      <c r="AGL19" s="66"/>
      <c r="AGM19" s="66"/>
      <c r="AGN19" s="66"/>
      <c r="AGO19" s="66"/>
      <c r="AGP19" s="66"/>
      <c r="AGQ19" s="66"/>
      <c r="AGR19" s="66"/>
      <c r="AGS19" s="66"/>
      <c r="AGT19" s="66"/>
      <c r="AGU19" s="66"/>
      <c r="AGV19" s="66"/>
      <c r="AGW19" s="66"/>
      <c r="AGX19" s="66"/>
      <c r="AGY19" s="66"/>
      <c r="AGZ19" s="66"/>
      <c r="AHA19" s="66"/>
      <c r="AHB19" s="66"/>
      <c r="AHC19" s="66"/>
      <c r="AHD19" s="66"/>
      <c r="AHE19" s="66"/>
      <c r="AHF19" s="66"/>
      <c r="AHG19" s="66"/>
      <c r="AHH19" s="66"/>
      <c r="AHI19" s="66"/>
      <c r="AHJ19" s="66"/>
      <c r="AHK19" s="66"/>
      <c r="AHL19" s="66"/>
      <c r="AHM19" s="66"/>
      <c r="AHN19" s="66"/>
      <c r="AHO19" s="66"/>
      <c r="AHP19" s="66"/>
      <c r="AHQ19" s="66"/>
      <c r="AHR19" s="66"/>
      <c r="AHS19" s="66"/>
      <c r="AHT19" s="66"/>
      <c r="AHU19" s="66"/>
      <c r="AHV19" s="66"/>
      <c r="AHW19" s="66"/>
      <c r="AHX19" s="66"/>
      <c r="AHY19" s="66"/>
      <c r="AHZ19" s="66"/>
      <c r="AIA19" s="66"/>
      <c r="AIB19" s="66"/>
      <c r="AIC19" s="66"/>
      <c r="AID19" s="66"/>
      <c r="AIE19" s="66"/>
      <c r="AIF19" s="66"/>
      <c r="AIG19" s="66"/>
      <c r="AIH19" s="66"/>
      <c r="AII19" s="66"/>
      <c r="AIJ19" s="66"/>
      <c r="AIK19" s="66"/>
      <c r="AIL19" s="66"/>
      <c r="AIM19" s="66"/>
      <c r="AIN19" s="66"/>
      <c r="AIO19" s="66"/>
      <c r="AIP19" s="66"/>
      <c r="AIQ19" s="66"/>
      <c r="AIR19" s="66"/>
      <c r="AIS19" s="66"/>
      <c r="AIT19" s="66"/>
      <c r="AIU19" s="66"/>
      <c r="AIV19" s="66"/>
      <c r="AIW19" s="66"/>
      <c r="AIX19" s="66"/>
      <c r="AIY19" s="66"/>
      <c r="AIZ19" s="66"/>
      <c r="AJA19" s="66"/>
      <c r="AJB19" s="66"/>
      <c r="AJC19" s="66"/>
      <c r="AJD19" s="66"/>
      <c r="AJE19" s="66"/>
      <c r="AJF19" s="66"/>
      <c r="AJG19" s="66"/>
      <c r="AJH19" s="66"/>
      <c r="AJI19" s="66"/>
      <c r="AJJ19" s="66"/>
      <c r="AJK19" s="66"/>
      <c r="AJL19" s="66"/>
      <c r="AJM19" s="66"/>
      <c r="AJN19" s="66"/>
      <c r="AJO19" s="66"/>
      <c r="AJP19" s="66"/>
      <c r="AJQ19" s="66"/>
      <c r="AJR19" s="66"/>
      <c r="AJS19" s="66"/>
      <c r="AJT19" s="66"/>
      <c r="AJU19" s="66"/>
      <c r="AJV19" s="66"/>
      <c r="AJW19" s="66"/>
      <c r="AJX19" s="66"/>
      <c r="AJY19" s="66"/>
      <c r="AJZ19" s="66"/>
      <c r="AKA19" s="66"/>
      <c r="AKB19" s="66"/>
      <c r="AKC19" s="66"/>
      <c r="AKD19" s="66"/>
      <c r="AKE19" s="66"/>
      <c r="AKF19" s="66"/>
      <c r="AKG19" s="66"/>
      <c r="AKH19" s="66"/>
      <c r="AKI19" s="66"/>
      <c r="AKJ19" s="66"/>
      <c r="AKK19" s="66"/>
      <c r="AKL19" s="66"/>
      <c r="AKM19" s="66"/>
      <c r="AKN19" s="66"/>
      <c r="AKO19" s="66"/>
      <c r="AKP19" s="66"/>
      <c r="AKQ19" s="66"/>
      <c r="AKR19" s="66"/>
      <c r="AKS19" s="66"/>
      <c r="AKT19" s="66"/>
      <c r="AKU19" s="66"/>
      <c r="AKV19" s="66"/>
      <c r="AKW19" s="66"/>
      <c r="AKX19" s="66"/>
      <c r="AKY19" s="66"/>
      <c r="AKZ19" s="66"/>
      <c r="ALA19" s="66"/>
      <c r="ALB19" s="66"/>
      <c r="ALC19" s="66"/>
      <c r="ALD19" s="66"/>
      <c r="ALE19" s="66"/>
      <c r="ALF19" s="66"/>
      <c r="ALG19" s="66"/>
      <c r="ALH19" s="66"/>
      <c r="ALI19" s="66"/>
      <c r="ALJ19" s="66"/>
      <c r="ALK19" s="66"/>
      <c r="ALL19" s="66"/>
      <c r="ALM19" s="66"/>
      <c r="ALN19" s="66"/>
      <c r="ALO19" s="66"/>
      <c r="ALP19" s="66"/>
      <c r="ALQ19" s="66"/>
      <c r="ALR19" s="66"/>
      <c r="ALS19" s="66"/>
      <c r="ALT19" s="66"/>
      <c r="ALU19" s="66"/>
      <c r="ALV19" s="66"/>
      <c r="ALW19" s="66"/>
      <c r="ALX19" s="66"/>
      <c r="ALY19" s="66"/>
      <c r="ALZ19" s="66"/>
      <c r="AMA19" s="66"/>
      <c r="AMB19" s="66"/>
      <c r="AMC19" s="66"/>
      <c r="AMD19" s="66"/>
      <c r="AME19" s="66"/>
      <c r="AMF19" s="66"/>
      <c r="AMG19" s="66"/>
      <c r="AMH19" s="66"/>
      <c r="AMI19" s="66"/>
      <c r="AMJ19" s="66"/>
    </row>
    <row r="20" spans="1:1024" x14ac:dyDescent="0.25">
      <c r="A20" s="82"/>
      <c r="B20" s="71" t="str">
        <f>IF(D1&lt;&gt;"",$A$18&amp;" b","")</f>
        <v/>
      </c>
      <c r="C20" s="81" t="str">
        <f>IF(Kielivalinta="Suomi","Ensin poistamme tähdet korvaamalla merkkiyhdistelmä ~* 'ei millään' liittämällä tuo merkkiyhdistelmä Etsi ja korvaa –ruudun etsittävään kohtaan.",IF(Kielivalinta="Svenska","Först raderar vi asteriskerna genom att ersätta teckenkombination ~* 'med ingenting' så att vi skriver teckenkombinationen i sökrutan.",""))</f>
        <v/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70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66"/>
      <c r="QT20" s="66"/>
      <c r="QU20" s="66"/>
      <c r="QV20" s="66"/>
      <c r="QW20" s="66"/>
      <c r="QX20" s="66"/>
      <c r="QY20" s="66"/>
      <c r="QZ20" s="66"/>
      <c r="RA20" s="66"/>
      <c r="RB20" s="66"/>
      <c r="RC20" s="66"/>
      <c r="RD20" s="66"/>
      <c r="RE20" s="66"/>
      <c r="RF20" s="66"/>
      <c r="RG20" s="66"/>
      <c r="RH20" s="66"/>
      <c r="RI20" s="66"/>
      <c r="RJ20" s="66"/>
      <c r="RK20" s="66"/>
      <c r="RL20" s="66"/>
      <c r="RM20" s="66"/>
      <c r="RN20" s="66"/>
      <c r="RO20" s="66"/>
      <c r="RP20" s="66"/>
      <c r="RQ20" s="66"/>
      <c r="RR20" s="66"/>
      <c r="RS20" s="66"/>
      <c r="RT20" s="66"/>
      <c r="RU20" s="66"/>
      <c r="RV20" s="66"/>
      <c r="RW20" s="66"/>
      <c r="RX20" s="66"/>
      <c r="RY20" s="66"/>
      <c r="RZ20" s="66"/>
      <c r="SA20" s="66"/>
      <c r="SB20" s="66"/>
      <c r="SC20" s="66"/>
      <c r="SD20" s="66"/>
      <c r="SE20" s="66"/>
      <c r="SF20" s="66"/>
      <c r="SG20" s="66"/>
      <c r="SH20" s="66"/>
      <c r="SI20" s="66"/>
      <c r="SJ20" s="66"/>
      <c r="SK20" s="66"/>
      <c r="SL20" s="66"/>
      <c r="SM20" s="66"/>
      <c r="SN20" s="66"/>
      <c r="SO20" s="66"/>
      <c r="SP20" s="66"/>
      <c r="SQ20" s="66"/>
      <c r="SR20" s="66"/>
      <c r="SS20" s="66"/>
      <c r="ST20" s="66"/>
      <c r="SU20" s="66"/>
      <c r="SV20" s="66"/>
      <c r="SW20" s="66"/>
      <c r="SX20" s="66"/>
      <c r="SY20" s="66"/>
      <c r="SZ20" s="66"/>
      <c r="TA20" s="66"/>
      <c r="TB20" s="66"/>
      <c r="TC20" s="66"/>
      <c r="TD20" s="66"/>
      <c r="TE20" s="66"/>
      <c r="TF20" s="66"/>
      <c r="TG20" s="66"/>
      <c r="TH20" s="66"/>
      <c r="TI20" s="66"/>
      <c r="TJ20" s="66"/>
      <c r="TK20" s="66"/>
      <c r="TL20" s="66"/>
      <c r="TM20" s="66"/>
      <c r="TN20" s="66"/>
      <c r="TO20" s="66"/>
      <c r="TP20" s="66"/>
      <c r="TQ20" s="66"/>
      <c r="TR20" s="66"/>
      <c r="TS20" s="66"/>
      <c r="TT20" s="66"/>
      <c r="TU20" s="66"/>
      <c r="TV20" s="66"/>
      <c r="TW20" s="66"/>
      <c r="TX20" s="66"/>
      <c r="TY20" s="66"/>
      <c r="TZ20" s="66"/>
      <c r="UA20" s="66"/>
      <c r="UB20" s="66"/>
      <c r="UC20" s="66"/>
      <c r="UD20" s="66"/>
      <c r="UE20" s="66"/>
      <c r="UF20" s="66"/>
      <c r="UG20" s="66"/>
      <c r="UH20" s="66"/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6"/>
      <c r="XV20" s="66"/>
      <c r="XW20" s="66"/>
      <c r="XX20" s="66"/>
      <c r="XY20" s="66"/>
      <c r="XZ20" s="66"/>
      <c r="YA20" s="66"/>
      <c r="YB20" s="66"/>
      <c r="YC20" s="66"/>
      <c r="YD20" s="66"/>
      <c r="YE20" s="66"/>
      <c r="YF20" s="66"/>
      <c r="YG20" s="66"/>
      <c r="YH20" s="66"/>
      <c r="YI20" s="66"/>
      <c r="YJ20" s="66"/>
      <c r="YK20" s="66"/>
      <c r="YL20" s="66"/>
      <c r="YM20" s="66"/>
      <c r="YN20" s="66"/>
      <c r="YO20" s="66"/>
      <c r="YP20" s="66"/>
      <c r="YQ20" s="66"/>
      <c r="YR20" s="66"/>
      <c r="YS20" s="66"/>
      <c r="YT20" s="66"/>
      <c r="YU20" s="66"/>
      <c r="YV20" s="66"/>
      <c r="YW20" s="66"/>
      <c r="YX20" s="66"/>
      <c r="YY20" s="66"/>
      <c r="YZ20" s="66"/>
      <c r="ZA20" s="66"/>
      <c r="ZB20" s="66"/>
      <c r="ZC20" s="66"/>
      <c r="ZD20" s="66"/>
      <c r="ZE20" s="66"/>
      <c r="ZF20" s="66"/>
      <c r="ZG20" s="66"/>
      <c r="ZH20" s="66"/>
      <c r="ZI20" s="66"/>
      <c r="ZJ20" s="66"/>
      <c r="ZK20" s="66"/>
      <c r="ZL20" s="66"/>
      <c r="ZM20" s="66"/>
      <c r="ZN20" s="66"/>
      <c r="ZO20" s="66"/>
      <c r="ZP20" s="66"/>
      <c r="ZQ20" s="66"/>
      <c r="ZR20" s="66"/>
      <c r="ZS20" s="66"/>
      <c r="ZT20" s="66"/>
      <c r="ZU20" s="66"/>
      <c r="ZV20" s="66"/>
      <c r="ZW20" s="66"/>
      <c r="ZX20" s="66"/>
      <c r="ZY20" s="66"/>
      <c r="ZZ20" s="66"/>
      <c r="AAA20" s="66"/>
      <c r="AAB20" s="66"/>
      <c r="AAC20" s="66"/>
      <c r="AAD20" s="66"/>
      <c r="AAE20" s="66"/>
      <c r="AAF20" s="66"/>
      <c r="AAG20" s="66"/>
      <c r="AAH20" s="66"/>
      <c r="AAI20" s="66"/>
      <c r="AAJ20" s="66"/>
      <c r="AAK20" s="66"/>
      <c r="AAL20" s="66"/>
      <c r="AAM20" s="66"/>
      <c r="AAN20" s="66"/>
      <c r="AAO20" s="66"/>
      <c r="AAP20" s="66"/>
      <c r="AAQ20" s="66"/>
      <c r="AAR20" s="66"/>
      <c r="AAS20" s="66"/>
      <c r="AAT20" s="66"/>
      <c r="AAU20" s="66"/>
      <c r="AAV20" s="66"/>
      <c r="AAW20" s="66"/>
      <c r="AAX20" s="66"/>
      <c r="AAY20" s="66"/>
      <c r="AAZ20" s="66"/>
      <c r="ABA20" s="66"/>
      <c r="ABB20" s="66"/>
      <c r="ABC20" s="66"/>
      <c r="ABD20" s="66"/>
      <c r="ABE20" s="66"/>
      <c r="ABF20" s="66"/>
      <c r="ABG20" s="66"/>
      <c r="ABH20" s="66"/>
      <c r="ABI20" s="66"/>
      <c r="ABJ20" s="66"/>
      <c r="ABK20" s="66"/>
      <c r="ABL20" s="66"/>
      <c r="ABM20" s="66"/>
      <c r="ABN20" s="66"/>
      <c r="ABO20" s="66"/>
      <c r="ABP20" s="66"/>
      <c r="ABQ20" s="66"/>
      <c r="ABR20" s="66"/>
      <c r="ABS20" s="66"/>
      <c r="ABT20" s="66"/>
      <c r="ABU20" s="66"/>
      <c r="ABV20" s="66"/>
      <c r="ABW20" s="66"/>
      <c r="ABX20" s="66"/>
      <c r="ABY20" s="66"/>
      <c r="ABZ20" s="66"/>
      <c r="ACA20" s="66"/>
      <c r="ACB20" s="66"/>
      <c r="ACC20" s="66"/>
      <c r="ACD20" s="66"/>
      <c r="ACE20" s="66"/>
      <c r="ACF20" s="66"/>
      <c r="ACG20" s="66"/>
      <c r="ACH20" s="66"/>
      <c r="ACI20" s="66"/>
      <c r="ACJ20" s="66"/>
      <c r="ACK20" s="66"/>
      <c r="ACL20" s="66"/>
      <c r="ACM20" s="66"/>
      <c r="ACN20" s="66"/>
      <c r="ACO20" s="66"/>
      <c r="ACP20" s="66"/>
      <c r="ACQ20" s="66"/>
      <c r="ACR20" s="66"/>
      <c r="ACS20" s="66"/>
      <c r="ACT20" s="66"/>
      <c r="ACU20" s="66"/>
      <c r="ACV20" s="66"/>
      <c r="ACW20" s="66"/>
      <c r="ACX20" s="66"/>
      <c r="ACY20" s="66"/>
      <c r="ACZ20" s="66"/>
      <c r="ADA20" s="66"/>
      <c r="ADB20" s="66"/>
      <c r="ADC20" s="66"/>
      <c r="ADD20" s="66"/>
      <c r="ADE20" s="66"/>
      <c r="ADF20" s="66"/>
      <c r="ADG20" s="66"/>
      <c r="ADH20" s="66"/>
      <c r="ADI20" s="66"/>
      <c r="ADJ20" s="66"/>
      <c r="ADK20" s="66"/>
      <c r="ADL20" s="66"/>
      <c r="ADM20" s="66"/>
      <c r="ADN20" s="66"/>
      <c r="ADO20" s="66"/>
      <c r="ADP20" s="66"/>
      <c r="ADQ20" s="66"/>
      <c r="ADR20" s="66"/>
      <c r="ADS20" s="66"/>
      <c r="ADT20" s="66"/>
      <c r="ADU20" s="66"/>
      <c r="ADV20" s="66"/>
      <c r="ADW20" s="66"/>
      <c r="ADX20" s="66"/>
      <c r="ADY20" s="66"/>
      <c r="ADZ20" s="66"/>
      <c r="AEA20" s="66"/>
      <c r="AEB20" s="66"/>
      <c r="AEC20" s="66"/>
      <c r="AED20" s="66"/>
      <c r="AEE20" s="66"/>
      <c r="AEF20" s="66"/>
      <c r="AEG20" s="66"/>
      <c r="AEH20" s="66"/>
      <c r="AEI20" s="66"/>
      <c r="AEJ20" s="66"/>
      <c r="AEK20" s="66"/>
      <c r="AEL20" s="66"/>
      <c r="AEM20" s="66"/>
      <c r="AEN20" s="66"/>
      <c r="AEO20" s="66"/>
      <c r="AEP20" s="66"/>
      <c r="AEQ20" s="66"/>
      <c r="AER20" s="66"/>
      <c r="AES20" s="66"/>
      <c r="AET20" s="66"/>
      <c r="AEU20" s="66"/>
      <c r="AEV20" s="66"/>
      <c r="AEW20" s="66"/>
      <c r="AEX20" s="66"/>
      <c r="AEY20" s="66"/>
      <c r="AEZ20" s="66"/>
      <c r="AFA20" s="66"/>
      <c r="AFB20" s="66"/>
      <c r="AFC20" s="66"/>
      <c r="AFD20" s="66"/>
      <c r="AFE20" s="66"/>
      <c r="AFF20" s="66"/>
      <c r="AFG20" s="66"/>
      <c r="AFH20" s="66"/>
      <c r="AFI20" s="66"/>
      <c r="AFJ20" s="66"/>
      <c r="AFK20" s="66"/>
      <c r="AFL20" s="66"/>
      <c r="AFM20" s="66"/>
      <c r="AFN20" s="66"/>
      <c r="AFO20" s="66"/>
      <c r="AFP20" s="66"/>
      <c r="AFQ20" s="66"/>
      <c r="AFR20" s="66"/>
      <c r="AFS20" s="66"/>
      <c r="AFT20" s="66"/>
      <c r="AFU20" s="66"/>
      <c r="AFV20" s="66"/>
      <c r="AFW20" s="66"/>
      <c r="AFX20" s="66"/>
      <c r="AFY20" s="66"/>
      <c r="AFZ20" s="66"/>
      <c r="AGA20" s="66"/>
      <c r="AGB20" s="66"/>
      <c r="AGC20" s="66"/>
      <c r="AGD20" s="66"/>
      <c r="AGE20" s="66"/>
      <c r="AGF20" s="66"/>
      <c r="AGG20" s="66"/>
      <c r="AGH20" s="66"/>
      <c r="AGI20" s="66"/>
      <c r="AGJ20" s="66"/>
      <c r="AGK20" s="66"/>
      <c r="AGL20" s="66"/>
      <c r="AGM20" s="66"/>
      <c r="AGN20" s="66"/>
      <c r="AGO20" s="66"/>
      <c r="AGP20" s="66"/>
      <c r="AGQ20" s="66"/>
      <c r="AGR20" s="66"/>
      <c r="AGS20" s="66"/>
      <c r="AGT20" s="66"/>
      <c r="AGU20" s="66"/>
      <c r="AGV20" s="66"/>
      <c r="AGW20" s="66"/>
      <c r="AGX20" s="66"/>
      <c r="AGY20" s="66"/>
      <c r="AGZ20" s="66"/>
      <c r="AHA20" s="66"/>
      <c r="AHB20" s="66"/>
      <c r="AHC20" s="66"/>
      <c r="AHD20" s="66"/>
      <c r="AHE20" s="66"/>
      <c r="AHF20" s="66"/>
      <c r="AHG20" s="66"/>
      <c r="AHH20" s="66"/>
      <c r="AHI20" s="66"/>
      <c r="AHJ20" s="66"/>
      <c r="AHK20" s="66"/>
      <c r="AHL20" s="66"/>
      <c r="AHM20" s="66"/>
      <c r="AHN20" s="66"/>
      <c r="AHO20" s="66"/>
      <c r="AHP20" s="66"/>
      <c r="AHQ20" s="66"/>
      <c r="AHR20" s="66"/>
      <c r="AHS20" s="66"/>
      <c r="AHT20" s="66"/>
      <c r="AHU20" s="66"/>
      <c r="AHV20" s="66"/>
      <c r="AHW20" s="66"/>
      <c r="AHX20" s="66"/>
      <c r="AHY20" s="66"/>
      <c r="AHZ20" s="66"/>
      <c r="AIA20" s="66"/>
      <c r="AIB20" s="66"/>
      <c r="AIC20" s="66"/>
      <c r="AID20" s="66"/>
      <c r="AIE20" s="66"/>
      <c r="AIF20" s="66"/>
      <c r="AIG20" s="66"/>
      <c r="AIH20" s="66"/>
      <c r="AII20" s="66"/>
      <c r="AIJ20" s="66"/>
      <c r="AIK20" s="66"/>
      <c r="AIL20" s="66"/>
      <c r="AIM20" s="66"/>
      <c r="AIN20" s="66"/>
      <c r="AIO20" s="66"/>
      <c r="AIP20" s="66"/>
      <c r="AIQ20" s="66"/>
      <c r="AIR20" s="66"/>
      <c r="AIS20" s="66"/>
      <c r="AIT20" s="66"/>
      <c r="AIU20" s="66"/>
      <c r="AIV20" s="66"/>
      <c r="AIW20" s="66"/>
      <c r="AIX20" s="66"/>
      <c r="AIY20" s="66"/>
      <c r="AIZ20" s="66"/>
      <c r="AJA20" s="66"/>
      <c r="AJB20" s="66"/>
      <c r="AJC20" s="66"/>
      <c r="AJD20" s="66"/>
      <c r="AJE20" s="66"/>
      <c r="AJF20" s="66"/>
      <c r="AJG20" s="66"/>
      <c r="AJH20" s="66"/>
      <c r="AJI20" s="66"/>
      <c r="AJJ20" s="66"/>
      <c r="AJK20" s="66"/>
      <c r="AJL20" s="66"/>
      <c r="AJM20" s="66"/>
      <c r="AJN20" s="66"/>
      <c r="AJO20" s="66"/>
      <c r="AJP20" s="66"/>
      <c r="AJQ20" s="66"/>
      <c r="AJR20" s="66"/>
      <c r="AJS20" s="66"/>
      <c r="AJT20" s="66"/>
      <c r="AJU20" s="66"/>
      <c r="AJV20" s="66"/>
      <c r="AJW20" s="66"/>
      <c r="AJX20" s="66"/>
      <c r="AJY20" s="66"/>
      <c r="AJZ20" s="66"/>
      <c r="AKA20" s="66"/>
      <c r="AKB20" s="66"/>
      <c r="AKC20" s="66"/>
      <c r="AKD20" s="66"/>
      <c r="AKE20" s="66"/>
      <c r="AKF20" s="66"/>
      <c r="AKG20" s="66"/>
      <c r="AKH20" s="66"/>
      <c r="AKI20" s="66"/>
      <c r="AKJ20" s="66"/>
      <c r="AKK20" s="66"/>
      <c r="AKL20" s="66"/>
      <c r="AKM20" s="66"/>
      <c r="AKN20" s="66"/>
      <c r="AKO20" s="66"/>
      <c r="AKP20" s="66"/>
      <c r="AKQ20" s="66"/>
      <c r="AKR20" s="66"/>
      <c r="AKS20" s="66"/>
      <c r="AKT20" s="66"/>
      <c r="AKU20" s="66"/>
      <c r="AKV20" s="66"/>
      <c r="AKW20" s="66"/>
      <c r="AKX20" s="66"/>
      <c r="AKY20" s="66"/>
      <c r="AKZ20" s="66"/>
      <c r="ALA20" s="66"/>
      <c r="ALB20" s="66"/>
      <c r="ALC20" s="66"/>
      <c r="ALD20" s="66"/>
      <c r="ALE20" s="66"/>
      <c r="ALF20" s="66"/>
      <c r="ALG20" s="66"/>
      <c r="ALH20" s="66"/>
      <c r="ALI20" s="66"/>
      <c r="ALJ20" s="66"/>
      <c r="ALK20" s="66"/>
      <c r="ALL20" s="66"/>
      <c r="ALM20" s="66"/>
      <c r="ALN20" s="66"/>
      <c r="ALO20" s="66"/>
      <c r="ALP20" s="66"/>
      <c r="ALQ20" s="66"/>
      <c r="ALR20" s="66"/>
      <c r="ALS20" s="66"/>
      <c r="ALT20" s="66"/>
      <c r="ALU20" s="66"/>
      <c r="ALV20" s="66"/>
      <c r="ALW20" s="66"/>
      <c r="ALX20" s="66"/>
      <c r="ALY20" s="66"/>
      <c r="ALZ20" s="66"/>
      <c r="AMA20" s="66"/>
      <c r="AMB20" s="66"/>
      <c r="AMC20" s="66"/>
      <c r="AMD20" s="66"/>
      <c r="AME20" s="66"/>
      <c r="AMF20" s="66"/>
      <c r="AMG20" s="66"/>
      <c r="AMH20" s="66"/>
      <c r="AMI20" s="66"/>
      <c r="AMJ20" s="66"/>
    </row>
    <row r="21" spans="1:1024" x14ac:dyDescent="0.25">
      <c r="A21" s="93"/>
      <c r="B21" s="90" t="str">
        <f>IF(D1&lt;&gt;"",$A$18&amp;" c","")</f>
        <v/>
      </c>
      <c r="C21" s="91" t="str">
        <f>IF(Kielivalinta="Suomi","Älä kirjoita mitään korvaava-ruutuun.",IF(Kielivalinta="Svenska","Skriv ingenting i rutan Ersätt med.",""))</f>
        <v/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70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  <c r="ACN21" s="66"/>
      <c r="ACO21" s="66"/>
      <c r="ACP21" s="66"/>
      <c r="ACQ21" s="66"/>
      <c r="ACR21" s="66"/>
      <c r="ACS21" s="66"/>
      <c r="ACT21" s="66"/>
      <c r="ACU21" s="66"/>
      <c r="ACV21" s="66"/>
      <c r="ACW21" s="66"/>
      <c r="ACX21" s="66"/>
      <c r="ACY21" s="66"/>
      <c r="ACZ21" s="66"/>
      <c r="ADA21" s="66"/>
      <c r="ADB21" s="66"/>
      <c r="ADC21" s="66"/>
      <c r="ADD21" s="66"/>
      <c r="ADE21" s="66"/>
      <c r="ADF21" s="66"/>
      <c r="ADG21" s="66"/>
      <c r="ADH21" s="66"/>
      <c r="ADI21" s="66"/>
      <c r="ADJ21" s="66"/>
      <c r="ADK21" s="66"/>
      <c r="ADL21" s="66"/>
      <c r="ADM21" s="66"/>
      <c r="ADN21" s="66"/>
      <c r="ADO21" s="66"/>
      <c r="ADP21" s="66"/>
      <c r="ADQ21" s="66"/>
      <c r="ADR21" s="66"/>
      <c r="ADS21" s="66"/>
      <c r="ADT21" s="66"/>
      <c r="ADU21" s="66"/>
      <c r="ADV21" s="66"/>
      <c r="ADW21" s="66"/>
      <c r="ADX21" s="66"/>
      <c r="ADY21" s="66"/>
      <c r="ADZ21" s="66"/>
      <c r="AEA21" s="66"/>
      <c r="AEB21" s="66"/>
      <c r="AEC21" s="66"/>
      <c r="AED21" s="66"/>
      <c r="AEE21" s="66"/>
      <c r="AEF21" s="66"/>
      <c r="AEG21" s="66"/>
      <c r="AEH21" s="66"/>
      <c r="AEI21" s="66"/>
      <c r="AEJ21" s="66"/>
      <c r="AEK21" s="66"/>
      <c r="AEL21" s="66"/>
      <c r="AEM21" s="66"/>
      <c r="AEN21" s="66"/>
      <c r="AEO21" s="66"/>
      <c r="AEP21" s="66"/>
      <c r="AEQ21" s="66"/>
      <c r="AER21" s="66"/>
      <c r="AES21" s="66"/>
      <c r="AET21" s="66"/>
      <c r="AEU21" s="66"/>
      <c r="AEV21" s="66"/>
      <c r="AEW21" s="66"/>
      <c r="AEX21" s="66"/>
      <c r="AEY21" s="66"/>
      <c r="AEZ21" s="66"/>
      <c r="AFA21" s="66"/>
      <c r="AFB21" s="66"/>
      <c r="AFC21" s="66"/>
      <c r="AFD21" s="66"/>
      <c r="AFE21" s="66"/>
      <c r="AFF21" s="66"/>
      <c r="AFG21" s="66"/>
      <c r="AFH21" s="66"/>
      <c r="AFI21" s="66"/>
      <c r="AFJ21" s="66"/>
      <c r="AFK21" s="66"/>
      <c r="AFL21" s="66"/>
      <c r="AFM21" s="66"/>
      <c r="AFN21" s="66"/>
      <c r="AFO21" s="66"/>
      <c r="AFP21" s="66"/>
      <c r="AFQ21" s="66"/>
      <c r="AFR21" s="66"/>
      <c r="AFS21" s="66"/>
      <c r="AFT21" s="66"/>
      <c r="AFU21" s="66"/>
      <c r="AFV21" s="66"/>
      <c r="AFW21" s="66"/>
      <c r="AFX21" s="66"/>
      <c r="AFY21" s="66"/>
      <c r="AFZ21" s="66"/>
      <c r="AGA21" s="66"/>
      <c r="AGB21" s="66"/>
      <c r="AGC21" s="66"/>
      <c r="AGD21" s="66"/>
      <c r="AGE21" s="66"/>
      <c r="AGF21" s="66"/>
      <c r="AGG21" s="66"/>
      <c r="AGH21" s="66"/>
      <c r="AGI21" s="66"/>
      <c r="AGJ21" s="66"/>
      <c r="AGK21" s="66"/>
      <c r="AGL21" s="66"/>
      <c r="AGM21" s="66"/>
      <c r="AGN21" s="66"/>
      <c r="AGO21" s="66"/>
      <c r="AGP21" s="66"/>
      <c r="AGQ21" s="66"/>
      <c r="AGR21" s="66"/>
      <c r="AGS21" s="66"/>
      <c r="AGT21" s="66"/>
      <c r="AGU21" s="66"/>
      <c r="AGV21" s="66"/>
      <c r="AGW21" s="66"/>
      <c r="AGX21" s="66"/>
      <c r="AGY21" s="66"/>
      <c r="AGZ21" s="66"/>
      <c r="AHA21" s="66"/>
      <c r="AHB21" s="66"/>
      <c r="AHC21" s="66"/>
      <c r="AHD21" s="66"/>
      <c r="AHE21" s="66"/>
      <c r="AHF21" s="66"/>
      <c r="AHG21" s="66"/>
      <c r="AHH21" s="66"/>
      <c r="AHI21" s="66"/>
      <c r="AHJ21" s="66"/>
      <c r="AHK21" s="66"/>
      <c r="AHL21" s="66"/>
      <c r="AHM21" s="66"/>
      <c r="AHN21" s="66"/>
      <c r="AHO21" s="66"/>
      <c r="AHP21" s="66"/>
      <c r="AHQ21" s="66"/>
      <c r="AHR21" s="66"/>
      <c r="AHS21" s="66"/>
      <c r="AHT21" s="66"/>
      <c r="AHU21" s="66"/>
      <c r="AHV21" s="66"/>
      <c r="AHW21" s="66"/>
      <c r="AHX21" s="66"/>
      <c r="AHY21" s="66"/>
      <c r="AHZ21" s="66"/>
      <c r="AIA21" s="66"/>
      <c r="AIB21" s="66"/>
      <c r="AIC21" s="66"/>
      <c r="AID21" s="66"/>
      <c r="AIE21" s="66"/>
      <c r="AIF21" s="66"/>
      <c r="AIG21" s="66"/>
      <c r="AIH21" s="66"/>
      <c r="AII21" s="66"/>
      <c r="AIJ21" s="66"/>
      <c r="AIK21" s="66"/>
      <c r="AIL21" s="66"/>
      <c r="AIM21" s="66"/>
      <c r="AIN21" s="66"/>
      <c r="AIO21" s="66"/>
      <c r="AIP21" s="66"/>
      <c r="AIQ21" s="66"/>
      <c r="AIR21" s="66"/>
      <c r="AIS21" s="66"/>
      <c r="AIT21" s="66"/>
      <c r="AIU21" s="66"/>
      <c r="AIV21" s="66"/>
      <c r="AIW21" s="66"/>
      <c r="AIX21" s="66"/>
      <c r="AIY21" s="66"/>
      <c r="AIZ21" s="66"/>
      <c r="AJA21" s="66"/>
      <c r="AJB21" s="66"/>
      <c r="AJC21" s="66"/>
      <c r="AJD21" s="66"/>
      <c r="AJE21" s="66"/>
      <c r="AJF21" s="66"/>
      <c r="AJG21" s="66"/>
      <c r="AJH21" s="66"/>
      <c r="AJI21" s="66"/>
      <c r="AJJ21" s="66"/>
      <c r="AJK21" s="66"/>
      <c r="AJL21" s="66"/>
      <c r="AJM21" s="66"/>
      <c r="AJN21" s="66"/>
      <c r="AJO21" s="66"/>
      <c r="AJP21" s="66"/>
      <c r="AJQ21" s="66"/>
      <c r="AJR21" s="66"/>
      <c r="AJS21" s="66"/>
      <c r="AJT21" s="66"/>
      <c r="AJU21" s="66"/>
      <c r="AJV21" s="66"/>
      <c r="AJW21" s="66"/>
      <c r="AJX21" s="66"/>
      <c r="AJY21" s="66"/>
      <c r="AJZ21" s="66"/>
      <c r="AKA21" s="66"/>
      <c r="AKB21" s="66"/>
      <c r="AKC21" s="66"/>
      <c r="AKD21" s="66"/>
      <c r="AKE21" s="66"/>
      <c r="AKF21" s="66"/>
      <c r="AKG21" s="66"/>
      <c r="AKH21" s="66"/>
      <c r="AKI21" s="66"/>
      <c r="AKJ21" s="66"/>
      <c r="AKK21" s="66"/>
      <c r="AKL21" s="66"/>
      <c r="AKM21" s="66"/>
      <c r="AKN21" s="66"/>
      <c r="AKO21" s="66"/>
      <c r="AKP21" s="66"/>
      <c r="AKQ21" s="66"/>
      <c r="AKR21" s="66"/>
      <c r="AKS21" s="66"/>
      <c r="AKT21" s="66"/>
      <c r="AKU21" s="66"/>
      <c r="AKV21" s="66"/>
      <c r="AKW21" s="66"/>
      <c r="AKX21" s="66"/>
      <c r="AKY21" s="66"/>
      <c r="AKZ21" s="66"/>
      <c r="ALA21" s="66"/>
      <c r="ALB21" s="66"/>
      <c r="ALC21" s="66"/>
      <c r="ALD21" s="66"/>
      <c r="ALE21" s="66"/>
      <c r="ALF21" s="66"/>
      <c r="ALG21" s="66"/>
      <c r="ALH21" s="66"/>
      <c r="ALI21" s="66"/>
      <c r="ALJ21" s="66"/>
      <c r="ALK21" s="66"/>
      <c r="ALL21" s="66"/>
      <c r="ALM21" s="66"/>
      <c r="ALN21" s="66"/>
      <c r="ALO21" s="66"/>
      <c r="ALP21" s="66"/>
      <c r="ALQ21" s="66"/>
      <c r="ALR21" s="66"/>
      <c r="ALS21" s="66"/>
      <c r="ALT21" s="66"/>
      <c r="ALU21" s="66"/>
      <c r="ALV21" s="66"/>
      <c r="ALW21" s="66"/>
      <c r="ALX21" s="66"/>
      <c r="ALY21" s="66"/>
      <c r="ALZ21" s="66"/>
      <c r="AMA21" s="66"/>
      <c r="AMB21" s="66"/>
      <c r="AMC21" s="66"/>
      <c r="AMD21" s="66"/>
      <c r="AME21" s="66"/>
      <c r="AMF21" s="66"/>
      <c r="AMG21" s="66"/>
      <c r="AMH21" s="66"/>
      <c r="AMI21" s="66"/>
      <c r="AMJ21" s="66"/>
    </row>
    <row r="22" spans="1:1024" x14ac:dyDescent="0.25">
      <c r="A22" s="82"/>
      <c r="B22" s="71" t="str">
        <f>IF(D1&lt;&gt;"",$A$18&amp;" d","")</f>
        <v/>
      </c>
      <c r="C22" s="72" t="str">
        <f>IF(Kielivalinta="Suomi","Paina nappulaa Korvaa kaikki.",IF(Kielivalinta="Svenska","Tryck på knappen Ersätt alla.",""))</f>
        <v/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0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  <c r="AHQ22" s="66"/>
      <c r="AHR22" s="66"/>
      <c r="AHS22" s="66"/>
      <c r="AHT22" s="66"/>
      <c r="AHU22" s="66"/>
      <c r="AHV22" s="66"/>
      <c r="AHW22" s="66"/>
      <c r="AHX22" s="66"/>
      <c r="AHY22" s="66"/>
      <c r="AHZ22" s="66"/>
      <c r="AIA22" s="66"/>
      <c r="AIB22" s="66"/>
      <c r="AIC22" s="66"/>
      <c r="AID22" s="66"/>
      <c r="AIE22" s="66"/>
      <c r="AIF22" s="66"/>
      <c r="AIG22" s="66"/>
      <c r="AIH22" s="66"/>
      <c r="AII22" s="66"/>
      <c r="AIJ22" s="66"/>
      <c r="AIK22" s="66"/>
      <c r="AIL22" s="66"/>
      <c r="AIM22" s="66"/>
      <c r="AIN22" s="66"/>
      <c r="AIO22" s="66"/>
      <c r="AIP22" s="66"/>
      <c r="AIQ22" s="66"/>
      <c r="AIR22" s="66"/>
      <c r="AIS22" s="66"/>
      <c r="AIT22" s="66"/>
      <c r="AIU22" s="66"/>
      <c r="AIV22" s="66"/>
      <c r="AIW22" s="66"/>
      <c r="AIX22" s="66"/>
      <c r="AIY22" s="66"/>
      <c r="AIZ22" s="66"/>
      <c r="AJA22" s="66"/>
      <c r="AJB22" s="66"/>
      <c r="AJC22" s="66"/>
      <c r="AJD22" s="66"/>
      <c r="AJE22" s="66"/>
      <c r="AJF22" s="66"/>
      <c r="AJG22" s="66"/>
      <c r="AJH22" s="66"/>
      <c r="AJI22" s="66"/>
      <c r="AJJ22" s="66"/>
      <c r="AJK22" s="66"/>
      <c r="AJL22" s="66"/>
      <c r="AJM22" s="66"/>
      <c r="AJN22" s="66"/>
      <c r="AJO22" s="66"/>
      <c r="AJP22" s="66"/>
      <c r="AJQ22" s="66"/>
      <c r="AJR22" s="66"/>
      <c r="AJS22" s="66"/>
      <c r="AJT22" s="66"/>
      <c r="AJU22" s="66"/>
      <c r="AJV22" s="66"/>
      <c r="AJW22" s="66"/>
      <c r="AJX22" s="66"/>
      <c r="AJY22" s="66"/>
      <c r="AJZ22" s="66"/>
      <c r="AKA22" s="66"/>
      <c r="AKB22" s="66"/>
      <c r="AKC22" s="66"/>
      <c r="AKD22" s="66"/>
      <c r="AKE22" s="66"/>
      <c r="AKF22" s="66"/>
      <c r="AKG22" s="66"/>
      <c r="AKH22" s="66"/>
      <c r="AKI22" s="66"/>
      <c r="AKJ22" s="66"/>
      <c r="AKK22" s="66"/>
      <c r="AKL22" s="66"/>
      <c r="AKM22" s="66"/>
      <c r="AKN22" s="66"/>
      <c r="AKO22" s="66"/>
      <c r="AKP22" s="66"/>
      <c r="AKQ22" s="66"/>
      <c r="AKR22" s="66"/>
      <c r="AKS22" s="66"/>
      <c r="AKT22" s="66"/>
      <c r="AKU22" s="66"/>
      <c r="AKV22" s="66"/>
      <c r="AKW22" s="66"/>
      <c r="AKX22" s="66"/>
      <c r="AKY22" s="66"/>
      <c r="AKZ22" s="66"/>
      <c r="ALA22" s="66"/>
      <c r="ALB22" s="66"/>
      <c r="ALC22" s="66"/>
      <c r="ALD22" s="66"/>
      <c r="ALE22" s="66"/>
      <c r="ALF22" s="66"/>
      <c r="ALG22" s="66"/>
      <c r="ALH22" s="66"/>
      <c r="ALI22" s="66"/>
      <c r="ALJ22" s="66"/>
      <c r="ALK22" s="66"/>
      <c r="ALL22" s="66"/>
      <c r="ALM22" s="66"/>
      <c r="ALN22" s="66"/>
      <c r="ALO22" s="66"/>
      <c r="ALP22" s="66"/>
      <c r="ALQ22" s="66"/>
      <c r="ALR22" s="66"/>
      <c r="ALS22" s="66"/>
      <c r="ALT22" s="66"/>
      <c r="ALU22" s="66"/>
      <c r="ALV22" s="66"/>
      <c r="ALW22" s="66"/>
      <c r="ALX22" s="66"/>
      <c r="ALY22" s="66"/>
      <c r="ALZ22" s="66"/>
      <c r="AMA22" s="66"/>
      <c r="AMB22" s="66"/>
      <c r="AMC22" s="66"/>
      <c r="AMD22" s="66"/>
      <c r="AME22" s="66"/>
      <c r="AMF22" s="66"/>
      <c r="AMG22" s="66"/>
      <c r="AMH22" s="66"/>
      <c r="AMI22" s="66"/>
      <c r="AMJ22" s="66"/>
    </row>
    <row r="23" spans="1:1024" x14ac:dyDescent="0.25">
      <c r="A23" s="93"/>
      <c r="B23" s="90" t="str">
        <f>IF(D1&lt;&gt;"",$A$18&amp;" e","")</f>
        <v/>
      </c>
      <c r="C23" s="91" t="str">
        <f>IF(Kielivalinta="Suomi","Jos kaikki meni hyvin, suurin osa laskentakaavoista ja grafiikasta aktivoitui jo nyt, mutta siivous jatkuu...",IF(Kielivalinta="Svenska","Gick allt bra blev största delen av beräkningsformlerna och grafiken aktiva redan nu, men städningen fortsätter...",""))</f>
        <v/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70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</row>
    <row r="24" spans="1:1024" x14ac:dyDescent="0.25">
      <c r="A24" s="82"/>
      <c r="B24" s="71" t="str">
        <f>IF(D1&lt;&gt;"",$A$18&amp;" f","")</f>
        <v/>
      </c>
      <c r="C24" s="72" t="str">
        <f>IF(Kielivalinta="Suomi","Tunnuslukujen kohdalla, jopa muuallakin, voi olla merkintä 'N/A', joka myös sotkee laskentaa - ne voit poistaa samalla tavalla.",IF(Kielivalinta="Svenska","I stället för nyckeltal och på andra platser i tabellen kan man eventuellt se informationen 'N/A', som också stör beräkningen. Du kan ta dem bort på samma sätt.",""))</f>
        <v/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0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  <c r="AHQ24" s="66"/>
      <c r="AHR24" s="66"/>
      <c r="AHS24" s="66"/>
      <c r="AHT24" s="66"/>
      <c r="AHU24" s="66"/>
      <c r="AHV24" s="66"/>
      <c r="AHW24" s="66"/>
      <c r="AHX24" s="66"/>
      <c r="AHY24" s="66"/>
      <c r="AHZ24" s="66"/>
      <c r="AIA24" s="66"/>
      <c r="AIB24" s="66"/>
      <c r="AIC24" s="66"/>
      <c r="AID24" s="66"/>
      <c r="AIE24" s="66"/>
      <c r="AIF24" s="66"/>
      <c r="AIG24" s="66"/>
      <c r="AIH24" s="66"/>
      <c r="AII24" s="66"/>
      <c r="AIJ24" s="66"/>
      <c r="AIK24" s="66"/>
      <c r="AIL24" s="66"/>
      <c r="AIM24" s="66"/>
      <c r="AIN24" s="66"/>
      <c r="AIO24" s="66"/>
      <c r="AIP24" s="66"/>
      <c r="AIQ24" s="66"/>
      <c r="AIR24" s="66"/>
      <c r="AIS24" s="66"/>
      <c r="AIT24" s="66"/>
      <c r="AIU24" s="66"/>
      <c r="AIV24" s="66"/>
      <c r="AIW24" s="66"/>
      <c r="AIX24" s="66"/>
      <c r="AIY24" s="66"/>
      <c r="AIZ24" s="66"/>
      <c r="AJA24" s="66"/>
      <c r="AJB24" s="66"/>
      <c r="AJC24" s="66"/>
      <c r="AJD24" s="66"/>
      <c r="AJE24" s="66"/>
      <c r="AJF24" s="66"/>
      <c r="AJG24" s="66"/>
      <c r="AJH24" s="66"/>
      <c r="AJI24" s="66"/>
      <c r="AJJ24" s="66"/>
      <c r="AJK24" s="66"/>
      <c r="AJL24" s="66"/>
      <c r="AJM24" s="66"/>
      <c r="AJN24" s="66"/>
      <c r="AJO24" s="66"/>
      <c r="AJP24" s="66"/>
      <c r="AJQ24" s="66"/>
      <c r="AJR24" s="66"/>
      <c r="AJS24" s="66"/>
      <c r="AJT24" s="66"/>
      <c r="AJU24" s="66"/>
      <c r="AJV24" s="66"/>
      <c r="AJW24" s="66"/>
      <c r="AJX24" s="66"/>
      <c r="AJY24" s="66"/>
      <c r="AJZ24" s="66"/>
      <c r="AKA24" s="66"/>
      <c r="AKB24" s="66"/>
      <c r="AKC24" s="66"/>
      <c r="AKD24" s="66"/>
      <c r="AKE24" s="66"/>
      <c r="AKF24" s="66"/>
      <c r="AKG24" s="66"/>
      <c r="AKH24" s="66"/>
      <c r="AKI24" s="66"/>
      <c r="AKJ24" s="66"/>
      <c r="AKK24" s="66"/>
      <c r="AKL24" s="66"/>
      <c r="AKM24" s="66"/>
      <c r="AKN24" s="66"/>
      <c r="AKO24" s="66"/>
      <c r="AKP24" s="66"/>
      <c r="AKQ24" s="66"/>
      <c r="AKR24" s="66"/>
      <c r="AKS24" s="66"/>
      <c r="AKT24" s="66"/>
      <c r="AKU24" s="66"/>
      <c r="AKV24" s="66"/>
      <c r="AKW24" s="66"/>
      <c r="AKX24" s="66"/>
      <c r="AKY24" s="66"/>
      <c r="AKZ24" s="66"/>
      <c r="ALA24" s="66"/>
      <c r="ALB24" s="66"/>
      <c r="ALC24" s="66"/>
      <c r="ALD24" s="66"/>
      <c r="ALE24" s="66"/>
      <c r="ALF24" s="66"/>
      <c r="ALG24" s="66"/>
      <c r="ALH24" s="66"/>
      <c r="ALI24" s="66"/>
      <c r="ALJ24" s="66"/>
      <c r="ALK24" s="66"/>
      <c r="ALL24" s="66"/>
      <c r="ALM24" s="66"/>
      <c r="ALN24" s="66"/>
      <c r="ALO24" s="66"/>
      <c r="ALP24" s="66"/>
      <c r="ALQ24" s="66"/>
      <c r="ALR24" s="66"/>
      <c r="ALS24" s="66"/>
      <c r="ALT24" s="66"/>
      <c r="ALU24" s="66"/>
      <c r="ALV24" s="66"/>
      <c r="ALW24" s="66"/>
      <c r="ALX24" s="66"/>
      <c r="ALY24" s="66"/>
      <c r="ALZ24" s="66"/>
      <c r="AMA24" s="66"/>
      <c r="AMB24" s="66"/>
      <c r="AMC24" s="66"/>
      <c r="AMD24" s="66"/>
      <c r="AME24" s="66"/>
      <c r="AMF24" s="66"/>
      <c r="AMG24" s="66"/>
      <c r="AMH24" s="66"/>
      <c r="AMI24" s="66"/>
      <c r="AMJ24" s="66"/>
    </row>
    <row r="25" spans="1:1024" x14ac:dyDescent="0.25">
      <c r="A25" s="93"/>
      <c r="B25" s="94" t="str">
        <f>IF(D1&lt;&gt;"",$A$18&amp;" g","")</f>
        <v/>
      </c>
      <c r="C25" s="99" t="str">
        <f>IF(Kielivalinta="Suomi","Riippuen liittämistavasta ja Officen asetuksista voi Excel tulkita A-sarakkeessa tekstirivin alussa olevan ranskalaisen viivan virheelliseksi kaavaksi ja voi kirjoittaa '#NIMI?'. "&amp;"Näistä pääsee eroon Etsi ja korvaa -toiminnolla poistamalla merkkijono, jossa on yhtäläisyysmerkki, miinusmerkki ja tyhjä merkki, eli nuo sulkujen sisällä näkyvät merkit: (=- ).",IF(Kielivalinta="Svenska","Beroende på  Officesinställningar och på vilken metod som använts för att klistra in data kan de punkter där KITT2 använder stolpar i början av textraden tolkas felaktigt av Excel som en beräkningsformel och resultera i värdet '#NAMN?'. "&amp;"De kan åtgärdas med 'Sök efter och Ersätt med' genom att ta bort teckensträngen med likhetstecknet, minustecknet och blanktecknet, d.v.s. de inom parentesen: (=- ).",""))</f>
        <v/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70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  <c r="ACN25" s="66"/>
      <c r="ACO25" s="66"/>
      <c r="ACP25" s="66"/>
      <c r="ACQ25" s="66"/>
      <c r="ACR25" s="66"/>
      <c r="ACS25" s="66"/>
      <c r="ACT25" s="66"/>
      <c r="ACU25" s="66"/>
      <c r="ACV25" s="66"/>
      <c r="ACW25" s="66"/>
      <c r="ACX25" s="66"/>
      <c r="ACY25" s="66"/>
      <c r="ACZ25" s="66"/>
      <c r="ADA25" s="66"/>
      <c r="ADB25" s="66"/>
      <c r="ADC25" s="66"/>
      <c r="ADD25" s="66"/>
      <c r="ADE25" s="66"/>
      <c r="ADF25" s="66"/>
      <c r="ADG25" s="66"/>
      <c r="ADH25" s="66"/>
      <c r="ADI25" s="66"/>
      <c r="ADJ25" s="66"/>
      <c r="ADK25" s="66"/>
      <c r="ADL25" s="66"/>
      <c r="ADM25" s="66"/>
      <c r="ADN25" s="66"/>
      <c r="ADO25" s="66"/>
      <c r="ADP25" s="66"/>
      <c r="ADQ25" s="66"/>
      <c r="ADR25" s="66"/>
      <c r="ADS25" s="66"/>
      <c r="ADT25" s="66"/>
      <c r="ADU25" s="66"/>
      <c r="ADV25" s="66"/>
      <c r="ADW25" s="66"/>
      <c r="ADX25" s="66"/>
      <c r="ADY25" s="66"/>
      <c r="ADZ25" s="66"/>
      <c r="AEA25" s="66"/>
      <c r="AEB25" s="66"/>
      <c r="AEC25" s="66"/>
      <c r="AED25" s="66"/>
      <c r="AEE25" s="66"/>
      <c r="AEF25" s="66"/>
      <c r="AEG25" s="66"/>
      <c r="AEH25" s="66"/>
      <c r="AEI25" s="66"/>
      <c r="AEJ25" s="66"/>
      <c r="AEK25" s="66"/>
      <c r="AEL25" s="66"/>
      <c r="AEM25" s="66"/>
      <c r="AEN25" s="66"/>
      <c r="AEO25" s="66"/>
      <c r="AEP25" s="66"/>
      <c r="AEQ25" s="66"/>
      <c r="AER25" s="66"/>
      <c r="AES25" s="66"/>
      <c r="AET25" s="66"/>
      <c r="AEU25" s="66"/>
      <c r="AEV25" s="66"/>
      <c r="AEW25" s="66"/>
      <c r="AEX25" s="66"/>
      <c r="AEY25" s="66"/>
      <c r="AEZ25" s="66"/>
      <c r="AFA25" s="66"/>
      <c r="AFB25" s="66"/>
      <c r="AFC25" s="66"/>
      <c r="AFD25" s="66"/>
      <c r="AFE25" s="66"/>
      <c r="AFF25" s="66"/>
      <c r="AFG25" s="66"/>
      <c r="AFH25" s="66"/>
      <c r="AFI25" s="66"/>
      <c r="AFJ25" s="66"/>
      <c r="AFK25" s="66"/>
      <c r="AFL25" s="66"/>
      <c r="AFM25" s="66"/>
      <c r="AFN25" s="66"/>
      <c r="AFO25" s="66"/>
      <c r="AFP25" s="66"/>
      <c r="AFQ25" s="66"/>
      <c r="AFR25" s="66"/>
      <c r="AFS25" s="66"/>
      <c r="AFT25" s="66"/>
      <c r="AFU25" s="66"/>
      <c r="AFV25" s="66"/>
      <c r="AFW25" s="66"/>
      <c r="AFX25" s="66"/>
      <c r="AFY25" s="66"/>
      <c r="AFZ25" s="66"/>
      <c r="AGA25" s="66"/>
      <c r="AGB25" s="66"/>
      <c r="AGC25" s="66"/>
      <c r="AGD25" s="66"/>
      <c r="AGE25" s="66"/>
      <c r="AGF25" s="66"/>
      <c r="AGG25" s="66"/>
      <c r="AGH25" s="66"/>
      <c r="AGI25" s="66"/>
      <c r="AGJ25" s="66"/>
      <c r="AGK25" s="66"/>
      <c r="AGL25" s="66"/>
      <c r="AGM25" s="66"/>
      <c r="AGN25" s="66"/>
      <c r="AGO25" s="66"/>
      <c r="AGP25" s="66"/>
      <c r="AGQ25" s="66"/>
      <c r="AGR25" s="66"/>
      <c r="AGS25" s="66"/>
      <c r="AGT25" s="66"/>
      <c r="AGU25" s="66"/>
      <c r="AGV25" s="66"/>
      <c r="AGW25" s="66"/>
      <c r="AGX25" s="66"/>
      <c r="AGY25" s="66"/>
      <c r="AGZ25" s="66"/>
      <c r="AHA25" s="66"/>
      <c r="AHB25" s="66"/>
      <c r="AHC25" s="66"/>
      <c r="AHD25" s="66"/>
      <c r="AHE25" s="66"/>
      <c r="AHF25" s="66"/>
      <c r="AHG25" s="66"/>
      <c r="AHH25" s="66"/>
      <c r="AHI25" s="66"/>
      <c r="AHJ25" s="66"/>
      <c r="AHK25" s="66"/>
      <c r="AHL25" s="66"/>
      <c r="AHM25" s="66"/>
      <c r="AHN25" s="66"/>
      <c r="AHO25" s="66"/>
      <c r="AHP25" s="66"/>
      <c r="AHQ25" s="66"/>
      <c r="AHR25" s="66"/>
      <c r="AHS25" s="66"/>
      <c r="AHT25" s="66"/>
      <c r="AHU25" s="66"/>
      <c r="AHV25" s="66"/>
      <c r="AHW25" s="66"/>
      <c r="AHX25" s="66"/>
      <c r="AHY25" s="66"/>
      <c r="AHZ25" s="66"/>
      <c r="AIA25" s="66"/>
      <c r="AIB25" s="66"/>
      <c r="AIC25" s="66"/>
      <c r="AID25" s="66"/>
      <c r="AIE25" s="66"/>
      <c r="AIF25" s="66"/>
      <c r="AIG25" s="66"/>
      <c r="AIH25" s="66"/>
      <c r="AII25" s="66"/>
      <c r="AIJ25" s="66"/>
      <c r="AIK25" s="66"/>
      <c r="AIL25" s="66"/>
      <c r="AIM25" s="66"/>
      <c r="AIN25" s="66"/>
      <c r="AIO25" s="66"/>
      <c r="AIP25" s="66"/>
      <c r="AIQ25" s="66"/>
      <c r="AIR25" s="66"/>
      <c r="AIS25" s="66"/>
      <c r="AIT25" s="66"/>
      <c r="AIU25" s="66"/>
      <c r="AIV25" s="66"/>
      <c r="AIW25" s="66"/>
      <c r="AIX25" s="66"/>
      <c r="AIY25" s="66"/>
      <c r="AIZ25" s="66"/>
      <c r="AJA25" s="66"/>
      <c r="AJB25" s="66"/>
      <c r="AJC25" s="66"/>
      <c r="AJD25" s="66"/>
      <c r="AJE25" s="66"/>
      <c r="AJF25" s="66"/>
      <c r="AJG25" s="66"/>
      <c r="AJH25" s="66"/>
      <c r="AJI25" s="66"/>
      <c r="AJJ25" s="66"/>
      <c r="AJK25" s="66"/>
      <c r="AJL25" s="66"/>
      <c r="AJM25" s="66"/>
      <c r="AJN25" s="66"/>
      <c r="AJO25" s="66"/>
      <c r="AJP25" s="66"/>
      <c r="AJQ25" s="66"/>
      <c r="AJR25" s="66"/>
      <c r="AJS25" s="66"/>
      <c r="AJT25" s="66"/>
      <c r="AJU25" s="66"/>
      <c r="AJV25" s="66"/>
      <c r="AJW25" s="66"/>
      <c r="AJX25" s="66"/>
      <c r="AJY25" s="66"/>
      <c r="AJZ25" s="66"/>
      <c r="AKA25" s="66"/>
      <c r="AKB25" s="66"/>
      <c r="AKC25" s="66"/>
      <c r="AKD25" s="66"/>
      <c r="AKE25" s="66"/>
      <c r="AKF25" s="66"/>
      <c r="AKG25" s="66"/>
      <c r="AKH25" s="66"/>
      <c r="AKI25" s="66"/>
      <c r="AKJ25" s="66"/>
      <c r="AKK25" s="66"/>
      <c r="AKL25" s="66"/>
      <c r="AKM25" s="66"/>
      <c r="AKN25" s="66"/>
      <c r="AKO25" s="66"/>
      <c r="AKP25" s="66"/>
      <c r="AKQ25" s="66"/>
      <c r="AKR25" s="66"/>
      <c r="AKS25" s="66"/>
      <c r="AKT25" s="66"/>
      <c r="AKU25" s="66"/>
      <c r="AKV25" s="66"/>
      <c r="AKW25" s="66"/>
      <c r="AKX25" s="66"/>
      <c r="AKY25" s="66"/>
      <c r="AKZ25" s="66"/>
      <c r="ALA25" s="66"/>
      <c r="ALB25" s="66"/>
      <c r="ALC25" s="66"/>
      <c r="ALD25" s="66"/>
      <c r="ALE25" s="66"/>
      <c r="ALF25" s="66"/>
      <c r="ALG25" s="66"/>
      <c r="ALH25" s="66"/>
      <c r="ALI25" s="66"/>
      <c r="ALJ25" s="66"/>
      <c r="ALK25" s="66"/>
      <c r="ALL25" s="66"/>
      <c r="ALM25" s="66"/>
      <c r="ALN25" s="66"/>
      <c r="ALO25" s="66"/>
      <c r="ALP25" s="66"/>
      <c r="ALQ25" s="66"/>
      <c r="ALR25" s="66"/>
      <c r="ALS25" s="66"/>
      <c r="ALT25" s="66"/>
      <c r="ALU25" s="66"/>
      <c r="ALV25" s="66"/>
      <c r="ALW25" s="66"/>
      <c r="ALX25" s="66"/>
      <c r="ALY25" s="66"/>
      <c r="ALZ25" s="66"/>
      <c r="AMA25" s="66"/>
      <c r="AMB25" s="66"/>
      <c r="AMC25" s="66"/>
      <c r="AMD25" s="66"/>
      <c r="AME25" s="66"/>
      <c r="AMF25" s="66"/>
      <c r="AMG25" s="66"/>
      <c r="AMH25" s="66"/>
      <c r="AMI25" s="66"/>
      <c r="AMJ25" s="66"/>
    </row>
    <row r="26" spans="1:1024" x14ac:dyDescent="0.25">
      <c r="A26" s="93"/>
      <c r="B26" s="91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70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  <c r="ACN26" s="66"/>
      <c r="ACO26" s="66"/>
      <c r="ACP26" s="66"/>
      <c r="ACQ26" s="66"/>
      <c r="ACR26" s="66"/>
      <c r="ACS26" s="66"/>
      <c r="ACT26" s="66"/>
      <c r="ACU26" s="66"/>
      <c r="ACV26" s="66"/>
      <c r="ACW26" s="66"/>
      <c r="ACX26" s="66"/>
      <c r="ACY26" s="66"/>
      <c r="ACZ26" s="66"/>
      <c r="ADA26" s="66"/>
      <c r="ADB26" s="66"/>
      <c r="ADC26" s="66"/>
      <c r="ADD26" s="66"/>
      <c r="ADE26" s="66"/>
      <c r="ADF26" s="66"/>
      <c r="ADG26" s="66"/>
      <c r="ADH26" s="66"/>
      <c r="ADI26" s="66"/>
      <c r="ADJ26" s="66"/>
      <c r="ADK26" s="66"/>
      <c r="ADL26" s="66"/>
      <c r="ADM26" s="66"/>
      <c r="ADN26" s="66"/>
      <c r="ADO26" s="66"/>
      <c r="ADP26" s="66"/>
      <c r="ADQ26" s="66"/>
      <c r="ADR26" s="66"/>
      <c r="ADS26" s="66"/>
      <c r="ADT26" s="66"/>
      <c r="ADU26" s="66"/>
      <c r="ADV26" s="66"/>
      <c r="ADW26" s="66"/>
      <c r="ADX26" s="66"/>
      <c r="ADY26" s="66"/>
      <c r="ADZ26" s="66"/>
      <c r="AEA26" s="66"/>
      <c r="AEB26" s="66"/>
      <c r="AEC26" s="66"/>
      <c r="AED26" s="66"/>
      <c r="AEE26" s="66"/>
      <c r="AEF26" s="66"/>
      <c r="AEG26" s="66"/>
      <c r="AEH26" s="66"/>
      <c r="AEI26" s="66"/>
      <c r="AEJ26" s="66"/>
      <c r="AEK26" s="66"/>
      <c r="AEL26" s="66"/>
      <c r="AEM26" s="66"/>
      <c r="AEN26" s="66"/>
      <c r="AEO26" s="66"/>
      <c r="AEP26" s="66"/>
      <c r="AEQ26" s="66"/>
      <c r="AER26" s="66"/>
      <c r="AES26" s="66"/>
      <c r="AET26" s="66"/>
      <c r="AEU26" s="66"/>
      <c r="AEV26" s="66"/>
      <c r="AEW26" s="66"/>
      <c r="AEX26" s="66"/>
      <c r="AEY26" s="66"/>
      <c r="AEZ26" s="66"/>
      <c r="AFA26" s="66"/>
      <c r="AFB26" s="66"/>
      <c r="AFC26" s="66"/>
      <c r="AFD26" s="66"/>
      <c r="AFE26" s="66"/>
      <c r="AFF26" s="66"/>
      <c r="AFG26" s="66"/>
      <c r="AFH26" s="66"/>
      <c r="AFI26" s="66"/>
      <c r="AFJ26" s="66"/>
      <c r="AFK26" s="66"/>
      <c r="AFL26" s="66"/>
      <c r="AFM26" s="66"/>
      <c r="AFN26" s="66"/>
      <c r="AFO26" s="66"/>
      <c r="AFP26" s="66"/>
      <c r="AFQ26" s="66"/>
      <c r="AFR26" s="66"/>
      <c r="AFS26" s="66"/>
      <c r="AFT26" s="66"/>
      <c r="AFU26" s="66"/>
      <c r="AFV26" s="66"/>
      <c r="AFW26" s="66"/>
      <c r="AFX26" s="66"/>
      <c r="AFY26" s="66"/>
      <c r="AFZ26" s="66"/>
      <c r="AGA26" s="66"/>
      <c r="AGB26" s="66"/>
      <c r="AGC26" s="66"/>
      <c r="AGD26" s="66"/>
      <c r="AGE26" s="66"/>
      <c r="AGF26" s="66"/>
      <c r="AGG26" s="66"/>
      <c r="AGH26" s="66"/>
      <c r="AGI26" s="66"/>
      <c r="AGJ26" s="66"/>
      <c r="AGK26" s="66"/>
      <c r="AGL26" s="66"/>
      <c r="AGM26" s="66"/>
      <c r="AGN26" s="66"/>
      <c r="AGO26" s="66"/>
      <c r="AGP26" s="66"/>
      <c r="AGQ26" s="66"/>
      <c r="AGR26" s="66"/>
      <c r="AGS26" s="66"/>
      <c r="AGT26" s="66"/>
      <c r="AGU26" s="66"/>
      <c r="AGV26" s="66"/>
      <c r="AGW26" s="66"/>
      <c r="AGX26" s="66"/>
      <c r="AGY26" s="66"/>
      <c r="AGZ26" s="66"/>
      <c r="AHA26" s="66"/>
      <c r="AHB26" s="66"/>
      <c r="AHC26" s="66"/>
      <c r="AHD26" s="66"/>
      <c r="AHE26" s="66"/>
      <c r="AHF26" s="66"/>
      <c r="AHG26" s="66"/>
      <c r="AHH26" s="66"/>
      <c r="AHI26" s="66"/>
      <c r="AHJ26" s="66"/>
      <c r="AHK26" s="66"/>
      <c r="AHL26" s="66"/>
      <c r="AHM26" s="66"/>
      <c r="AHN26" s="66"/>
      <c r="AHO26" s="66"/>
      <c r="AHP26" s="66"/>
      <c r="AHQ26" s="66"/>
      <c r="AHR26" s="66"/>
      <c r="AHS26" s="66"/>
      <c r="AHT26" s="66"/>
      <c r="AHU26" s="66"/>
      <c r="AHV26" s="66"/>
      <c r="AHW26" s="66"/>
      <c r="AHX26" s="66"/>
      <c r="AHY26" s="66"/>
      <c r="AHZ26" s="66"/>
      <c r="AIA26" s="66"/>
      <c r="AIB26" s="66"/>
      <c r="AIC26" s="66"/>
      <c r="AID26" s="66"/>
      <c r="AIE26" s="66"/>
      <c r="AIF26" s="66"/>
      <c r="AIG26" s="66"/>
      <c r="AIH26" s="66"/>
      <c r="AII26" s="66"/>
      <c r="AIJ26" s="66"/>
      <c r="AIK26" s="66"/>
      <c r="AIL26" s="66"/>
      <c r="AIM26" s="66"/>
      <c r="AIN26" s="66"/>
      <c r="AIO26" s="66"/>
      <c r="AIP26" s="66"/>
      <c r="AIQ26" s="66"/>
      <c r="AIR26" s="66"/>
      <c r="AIS26" s="66"/>
      <c r="AIT26" s="66"/>
      <c r="AIU26" s="66"/>
      <c r="AIV26" s="66"/>
      <c r="AIW26" s="66"/>
      <c r="AIX26" s="66"/>
      <c r="AIY26" s="66"/>
      <c r="AIZ26" s="66"/>
      <c r="AJA26" s="66"/>
      <c r="AJB26" s="66"/>
      <c r="AJC26" s="66"/>
      <c r="AJD26" s="66"/>
      <c r="AJE26" s="66"/>
      <c r="AJF26" s="66"/>
      <c r="AJG26" s="66"/>
      <c r="AJH26" s="66"/>
      <c r="AJI26" s="66"/>
      <c r="AJJ26" s="66"/>
      <c r="AJK26" s="66"/>
      <c r="AJL26" s="66"/>
      <c r="AJM26" s="66"/>
      <c r="AJN26" s="66"/>
      <c r="AJO26" s="66"/>
      <c r="AJP26" s="66"/>
      <c r="AJQ26" s="66"/>
      <c r="AJR26" s="66"/>
      <c r="AJS26" s="66"/>
      <c r="AJT26" s="66"/>
      <c r="AJU26" s="66"/>
      <c r="AJV26" s="66"/>
      <c r="AJW26" s="66"/>
      <c r="AJX26" s="66"/>
      <c r="AJY26" s="66"/>
      <c r="AJZ26" s="66"/>
      <c r="AKA26" s="66"/>
      <c r="AKB26" s="66"/>
      <c r="AKC26" s="66"/>
      <c r="AKD26" s="66"/>
      <c r="AKE26" s="66"/>
      <c r="AKF26" s="66"/>
      <c r="AKG26" s="66"/>
      <c r="AKH26" s="66"/>
      <c r="AKI26" s="66"/>
      <c r="AKJ26" s="66"/>
      <c r="AKK26" s="66"/>
      <c r="AKL26" s="66"/>
      <c r="AKM26" s="66"/>
      <c r="AKN26" s="66"/>
      <c r="AKO26" s="66"/>
      <c r="AKP26" s="66"/>
      <c r="AKQ26" s="66"/>
      <c r="AKR26" s="66"/>
      <c r="AKS26" s="66"/>
      <c r="AKT26" s="66"/>
      <c r="AKU26" s="66"/>
      <c r="AKV26" s="66"/>
      <c r="AKW26" s="66"/>
      <c r="AKX26" s="66"/>
      <c r="AKY26" s="66"/>
      <c r="AKZ26" s="66"/>
      <c r="ALA26" s="66"/>
      <c r="ALB26" s="66"/>
      <c r="ALC26" s="66"/>
      <c r="ALD26" s="66"/>
      <c r="ALE26" s="66"/>
      <c r="ALF26" s="66"/>
      <c r="ALG26" s="66"/>
      <c r="ALH26" s="66"/>
      <c r="ALI26" s="66"/>
      <c r="ALJ26" s="66"/>
      <c r="ALK26" s="66"/>
      <c r="ALL26" s="66"/>
      <c r="ALM26" s="66"/>
      <c r="ALN26" s="66"/>
      <c r="ALO26" s="66"/>
      <c r="ALP26" s="66"/>
      <c r="ALQ26" s="66"/>
      <c r="ALR26" s="66"/>
      <c r="ALS26" s="66"/>
      <c r="ALT26" s="66"/>
      <c r="ALU26" s="66"/>
      <c r="ALV26" s="66"/>
      <c r="ALW26" s="66"/>
      <c r="ALX26" s="66"/>
      <c r="ALY26" s="66"/>
      <c r="ALZ26" s="66"/>
      <c r="AMA26" s="66"/>
      <c r="AMB26" s="66"/>
      <c r="AMC26" s="66"/>
      <c r="AMD26" s="66"/>
      <c r="AME26" s="66"/>
      <c r="AMF26" s="66"/>
      <c r="AMG26" s="66"/>
      <c r="AMH26" s="66"/>
      <c r="AMI26" s="66"/>
      <c r="AMJ26" s="66"/>
    </row>
    <row r="27" spans="1:1024" x14ac:dyDescent="0.25">
      <c r="A27" s="89" t="str">
        <f>IF($D$1&lt;&gt;"",A18+1,"")</f>
        <v/>
      </c>
      <c r="B27" s="87" t="str">
        <f>IF(Kielivalinta="Suomi","KAHDEN ERI organisaation vertailu: Siivoa taulun ["&amp;Data!B1&amp;"] B- ja C-sarakkeet SEKÄ poista sana 'ympyräkaavio' A-sarakkeesta kuten yllä kuvattu. Älä poista mitään muuta A-sarakkeesta.",IF(Kielivalinta="Svenska","För att jämföra TVÅ OLIKA organisationer: Städ tabellen ["&amp;Data!B1&amp;"] OCH radera ordet 'cirkeldiagram' i kolumn A som beskrivas ovan. Ta inte bort något annat i kolumn A.",""))</f>
        <v/>
      </c>
      <c r="C27" s="87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70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  <c r="AHQ27" s="66"/>
      <c r="AHR27" s="66"/>
      <c r="AHS27" s="66"/>
      <c r="AHT27" s="66"/>
      <c r="AHU27" s="66"/>
      <c r="AHV27" s="66"/>
      <c r="AHW27" s="66"/>
      <c r="AHX27" s="66"/>
      <c r="AHY27" s="66"/>
      <c r="AHZ27" s="66"/>
      <c r="AIA27" s="66"/>
      <c r="AIB27" s="66"/>
      <c r="AIC27" s="66"/>
      <c r="AID27" s="66"/>
      <c r="AIE27" s="66"/>
      <c r="AIF27" s="66"/>
      <c r="AIG27" s="66"/>
      <c r="AIH27" s="66"/>
      <c r="AII27" s="66"/>
      <c r="AIJ27" s="66"/>
      <c r="AIK27" s="66"/>
      <c r="AIL27" s="66"/>
      <c r="AIM27" s="66"/>
      <c r="AIN27" s="66"/>
      <c r="AIO27" s="66"/>
      <c r="AIP27" s="66"/>
      <c r="AIQ27" s="66"/>
      <c r="AIR27" s="66"/>
      <c r="AIS27" s="66"/>
      <c r="AIT27" s="66"/>
      <c r="AIU27" s="66"/>
      <c r="AIV27" s="66"/>
      <c r="AIW27" s="66"/>
      <c r="AIX27" s="66"/>
      <c r="AIY27" s="66"/>
      <c r="AIZ27" s="66"/>
      <c r="AJA27" s="66"/>
      <c r="AJB27" s="66"/>
      <c r="AJC27" s="66"/>
      <c r="AJD27" s="66"/>
      <c r="AJE27" s="66"/>
      <c r="AJF27" s="66"/>
      <c r="AJG27" s="66"/>
      <c r="AJH27" s="66"/>
      <c r="AJI27" s="66"/>
      <c r="AJJ27" s="66"/>
      <c r="AJK27" s="66"/>
      <c r="AJL27" s="66"/>
      <c r="AJM27" s="66"/>
      <c r="AJN27" s="66"/>
      <c r="AJO27" s="66"/>
      <c r="AJP27" s="66"/>
      <c r="AJQ27" s="66"/>
      <c r="AJR27" s="66"/>
      <c r="AJS27" s="66"/>
      <c r="AJT27" s="66"/>
      <c r="AJU27" s="66"/>
      <c r="AJV27" s="66"/>
      <c r="AJW27" s="66"/>
      <c r="AJX27" s="66"/>
      <c r="AJY27" s="66"/>
      <c r="AJZ27" s="66"/>
      <c r="AKA27" s="66"/>
      <c r="AKB27" s="66"/>
      <c r="AKC27" s="66"/>
      <c r="AKD27" s="66"/>
      <c r="AKE27" s="66"/>
      <c r="AKF27" s="66"/>
      <c r="AKG27" s="66"/>
      <c r="AKH27" s="66"/>
      <c r="AKI27" s="66"/>
      <c r="AKJ27" s="66"/>
      <c r="AKK27" s="66"/>
      <c r="AKL27" s="66"/>
      <c r="AKM27" s="66"/>
      <c r="AKN27" s="66"/>
      <c r="AKO27" s="66"/>
      <c r="AKP27" s="66"/>
      <c r="AKQ27" s="66"/>
      <c r="AKR27" s="66"/>
      <c r="AKS27" s="66"/>
      <c r="AKT27" s="66"/>
      <c r="AKU27" s="66"/>
      <c r="AKV27" s="66"/>
      <c r="AKW27" s="66"/>
      <c r="AKX27" s="66"/>
      <c r="AKY27" s="66"/>
      <c r="AKZ27" s="66"/>
      <c r="ALA27" s="66"/>
      <c r="ALB27" s="66"/>
      <c r="ALC27" s="66"/>
      <c r="ALD27" s="66"/>
      <c r="ALE27" s="66"/>
      <c r="ALF27" s="66"/>
      <c r="ALG27" s="66"/>
      <c r="ALH27" s="66"/>
      <c r="ALI27" s="66"/>
      <c r="ALJ27" s="66"/>
      <c r="ALK27" s="66"/>
      <c r="ALL27" s="66"/>
      <c r="ALM27" s="66"/>
      <c r="ALN27" s="66"/>
      <c r="ALO27" s="66"/>
      <c r="ALP27" s="66"/>
      <c r="ALQ27" s="66"/>
      <c r="ALR27" s="66"/>
      <c r="ALS27" s="66"/>
      <c r="ALT27" s="66"/>
      <c r="ALU27" s="66"/>
      <c r="ALV27" s="66"/>
      <c r="ALW27" s="66"/>
      <c r="ALX27" s="66"/>
      <c r="ALY27" s="66"/>
      <c r="ALZ27" s="66"/>
      <c r="AMA27" s="66"/>
      <c r="AMB27" s="66"/>
      <c r="AMC27" s="66"/>
      <c r="AMD27" s="66"/>
      <c r="AME27" s="66"/>
      <c r="AMF27" s="66"/>
      <c r="AMG27" s="66"/>
      <c r="AMH27" s="66"/>
      <c r="AMI27" s="66"/>
      <c r="AMJ27" s="66"/>
    </row>
    <row r="28" spans="1:1024" x14ac:dyDescent="0.25">
      <c r="A28" s="73" t="str">
        <f>IF($D$1&lt;&gt;"",A27+1,"")</f>
        <v/>
      </c>
      <c r="B28" s="72" t="str">
        <f>IF(Kielivalinta="Suomi","Siirry tarkastelemaan tietoja ja nauti laskennan tuloksista :-)",IF(Kielivalinta="Svenska","Börja granska data och njut av  beräkningens resultat :-)",""))</f>
        <v/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70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  <c r="AHQ28" s="66"/>
      <c r="AHR28" s="66"/>
      <c r="AHS28" s="66"/>
      <c r="AHT28" s="66"/>
      <c r="AHU28" s="66"/>
      <c r="AHV28" s="66"/>
      <c r="AHW28" s="66"/>
      <c r="AHX28" s="66"/>
      <c r="AHY28" s="66"/>
      <c r="AHZ28" s="66"/>
      <c r="AIA28" s="66"/>
      <c r="AIB28" s="66"/>
      <c r="AIC28" s="66"/>
      <c r="AID28" s="66"/>
      <c r="AIE28" s="66"/>
      <c r="AIF28" s="66"/>
      <c r="AIG28" s="66"/>
      <c r="AIH28" s="66"/>
      <c r="AII28" s="66"/>
      <c r="AIJ28" s="66"/>
      <c r="AIK28" s="66"/>
      <c r="AIL28" s="66"/>
      <c r="AIM28" s="66"/>
      <c r="AIN28" s="66"/>
      <c r="AIO28" s="66"/>
      <c r="AIP28" s="66"/>
      <c r="AIQ28" s="66"/>
      <c r="AIR28" s="66"/>
      <c r="AIS28" s="66"/>
      <c r="AIT28" s="66"/>
      <c r="AIU28" s="66"/>
      <c r="AIV28" s="66"/>
      <c r="AIW28" s="66"/>
      <c r="AIX28" s="66"/>
      <c r="AIY28" s="66"/>
      <c r="AIZ28" s="66"/>
      <c r="AJA28" s="66"/>
      <c r="AJB28" s="66"/>
      <c r="AJC28" s="66"/>
      <c r="AJD28" s="66"/>
      <c r="AJE28" s="66"/>
      <c r="AJF28" s="66"/>
      <c r="AJG28" s="66"/>
      <c r="AJH28" s="66"/>
      <c r="AJI28" s="66"/>
      <c r="AJJ28" s="66"/>
      <c r="AJK28" s="66"/>
      <c r="AJL28" s="66"/>
      <c r="AJM28" s="66"/>
      <c r="AJN28" s="66"/>
      <c r="AJO28" s="66"/>
      <c r="AJP28" s="66"/>
      <c r="AJQ28" s="66"/>
      <c r="AJR28" s="66"/>
      <c r="AJS28" s="66"/>
      <c r="AJT28" s="66"/>
      <c r="AJU28" s="66"/>
      <c r="AJV28" s="66"/>
      <c r="AJW28" s="66"/>
      <c r="AJX28" s="66"/>
      <c r="AJY28" s="66"/>
      <c r="AJZ28" s="66"/>
      <c r="AKA28" s="66"/>
      <c r="AKB28" s="66"/>
      <c r="AKC28" s="66"/>
      <c r="AKD28" s="66"/>
      <c r="AKE28" s="66"/>
      <c r="AKF28" s="66"/>
      <c r="AKG28" s="66"/>
      <c r="AKH28" s="66"/>
      <c r="AKI28" s="66"/>
      <c r="AKJ28" s="66"/>
      <c r="AKK28" s="66"/>
      <c r="AKL28" s="66"/>
      <c r="AKM28" s="66"/>
      <c r="AKN28" s="66"/>
      <c r="AKO28" s="66"/>
      <c r="AKP28" s="66"/>
      <c r="AKQ28" s="66"/>
      <c r="AKR28" s="66"/>
      <c r="AKS28" s="66"/>
      <c r="AKT28" s="66"/>
      <c r="AKU28" s="66"/>
      <c r="AKV28" s="66"/>
      <c r="AKW28" s="66"/>
      <c r="AKX28" s="66"/>
      <c r="AKY28" s="66"/>
      <c r="AKZ28" s="66"/>
      <c r="ALA28" s="66"/>
      <c r="ALB28" s="66"/>
      <c r="ALC28" s="66"/>
      <c r="ALD28" s="66"/>
      <c r="ALE28" s="66"/>
      <c r="ALF28" s="66"/>
      <c r="ALG28" s="66"/>
      <c r="ALH28" s="66"/>
      <c r="ALI28" s="66"/>
      <c r="ALJ28" s="66"/>
      <c r="ALK28" s="66"/>
      <c r="ALL28" s="66"/>
      <c r="ALM28" s="66"/>
      <c r="ALN28" s="66"/>
      <c r="ALO28" s="66"/>
      <c r="ALP28" s="66"/>
      <c r="ALQ28" s="66"/>
      <c r="ALR28" s="66"/>
      <c r="ALS28" s="66"/>
      <c r="ALT28" s="66"/>
      <c r="ALU28" s="66"/>
      <c r="ALV28" s="66"/>
      <c r="ALW28" s="66"/>
      <c r="ALX28" s="66"/>
      <c r="ALY28" s="66"/>
      <c r="ALZ28" s="66"/>
      <c r="AMA28" s="66"/>
      <c r="AMB28" s="66"/>
      <c r="AMC28" s="66"/>
      <c r="AMD28" s="66"/>
      <c r="AME28" s="66"/>
      <c r="AMF28" s="66"/>
      <c r="AMG28" s="66"/>
      <c r="AMH28" s="66"/>
      <c r="AMI28" s="66"/>
      <c r="AMJ28" s="66"/>
    </row>
    <row r="29" spans="1:1024" x14ac:dyDescent="0.25">
      <c r="A29" s="88" t="str">
        <f>IF($D$1&lt;&gt;"",A28+1,"")</f>
        <v/>
      </c>
      <c r="B29" s="87" t="str">
        <f>IF(Kielivalinta="Suomi","Kansallinen tilastovastaavasi on kiitollinen kaikista tätä tiedostoa koskevista kommenteistasi, joten ota rohkeasti yhteyttä :-)",IF(Kielivalinta="Svenska","Din nationella statistikansvarig är tacksam för alla kommentarer till den här filen, så gärna kontakta mig :-)",""))</f>
        <v/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</sheetData>
  <sheetProtection algorithmName="SHA-512" hashValue="7SnWDgJmZ3NcO4vsS0NL6KOiXY+TmW6JQBicbP/sm+RVVEKL0LFGFZ12wCKhZxlf4prfrBQ5tzfF3+Y5Uddp8Q==" saltValue="/HRlCK/y2NlI2xu7WE7EEg==" spinCount="100000" sheet="1" objects="1" scenarios="1"/>
  <mergeCells count="8">
    <mergeCell ref="E1:T2"/>
    <mergeCell ref="C25:U26"/>
    <mergeCell ref="A10:A11"/>
    <mergeCell ref="B10:U11"/>
    <mergeCell ref="A4:A5"/>
    <mergeCell ref="B4:U7"/>
    <mergeCell ref="B13:U14"/>
    <mergeCell ref="B15:U1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53" operator="equal" id="{4C208FC8-1154-4465-AF62-D87DCA89E1D8}">
            <xm:f>Asetukset!$A$3</xm:f>
            <x14:dxf>
              <font>
                <b/>
                <i val="0"/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3454" operator="equal" id="{B805C133-8E2E-4E6D-8668-2E93CD5D09E9}">
            <xm:f>Asetukset!$A$4</xm:f>
            <x14:dxf>
              <font>
                <b/>
                <i val="0"/>
                <color rgb="FFFFFF00"/>
              </font>
              <fill>
                <patternFill>
                  <bgColor theme="4" tint="-0.24994659260841701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64" yWindow="243" count="1">
        <x14:dataValidation type="list" allowBlank="1" showInputMessage="1" showErrorMessage="1">
          <x14:formula1>
            <xm:f>Asetukset!$A$3:$A$4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tabColor rgb="FF99CCFF"/>
  </sheetPr>
  <dimension ref="A1:N615"/>
  <sheetViews>
    <sheetView workbookViewId="0">
      <selection activeCell="A2" sqref="A2"/>
    </sheetView>
  </sheetViews>
  <sheetFormatPr defaultColWidth="0" defaultRowHeight="11.25" zeroHeight="1" x14ac:dyDescent="0.2"/>
  <cols>
    <col min="1" max="1" width="39.85546875" style="57" customWidth="1"/>
    <col min="2" max="2" width="34.7109375" style="55" customWidth="1"/>
    <col min="3" max="3" width="26.140625" style="55" customWidth="1"/>
    <col min="4" max="4" width="17.7109375" style="55" customWidth="1"/>
    <col min="5" max="5" width="13.140625" style="56" bestFit="1" customWidth="1"/>
    <col min="6" max="7" width="41.5703125" style="55" bestFit="1" customWidth="1"/>
    <col min="8" max="16384" width="8.85546875" style="55" hidden="1"/>
  </cols>
  <sheetData>
    <row r="1" spans="1:7" s="53" customFormat="1" ht="15" x14ac:dyDescent="0.25">
      <c r="A1" s="51" t="str">
        <f ca="1">IF(Kielivalinta="","Olet taulussa / Du är i tabellen "&amp;MID(CELL("filename",A1),FIND("]",CELL("filename",A1))+1,255),IF(Kielivalinta="Suomi","Olet taulussa "&amp;MID(CELL("filename",A1),FIND("]",CELL("filename",A1))+1,255),IF(Kielivalinta="Svenska","Du är i tabellen "&amp;MID(CELL("filename",A1),FIND("]",CELL("filename",A1))+1,255))))</f>
        <v>Olet taulussa / Du är i tabellen Data</v>
      </c>
      <c r="B1" s="58" t="str">
        <f ca="1">MID(CELL("filename",B1),FIND("]",CELL("filename",B1))+1,255)</f>
        <v>Data</v>
      </c>
      <c r="C1" s="52"/>
      <c r="D1" s="52"/>
      <c r="E1" s="52"/>
      <c r="F1" s="52"/>
      <c r="G1" s="52"/>
    </row>
    <row r="2" spans="1:7" ht="15" x14ac:dyDescent="0.2">
      <c r="A2" s="79"/>
      <c r="B2" s="79"/>
      <c r="C2" s="79"/>
      <c r="D2" s="54" t="str">
        <f>IF(Kielivalinta="Suomi","Muutos",IF(Kielivalinta="Svenska","Förändring","Valitse kieli - Välj språket"))</f>
        <v>Valitse kieli - Välj språket</v>
      </c>
      <c r="E2" s="54" t="str">
        <f>IF(Kielivalinta="Suomi","Muutos",IF(Kielivalinta="Svenska","Förändring"," "))</f>
        <v xml:space="preserve"> </v>
      </c>
      <c r="F2" s="54" t="str">
        <f>IF(Kielivalinta="Suomi","Huom. / "&amp;B3,IF(Kielivalinta="Svenska","Obs. / "&amp;B3,"Valitse kieli - Välj språket"))</f>
        <v>Valitse kieli - Välj språket</v>
      </c>
      <c r="G2" s="54" t="str">
        <f>IF(Kielivalinta="Suomi","Huom. / "&amp;C3,IF(Kielivalinta="Svenska","Obs. / "&amp;C3,"Valitse kieli - Välj språket"))</f>
        <v>Valitse kieli - Välj språket</v>
      </c>
    </row>
    <row r="3" spans="1:7" ht="15" x14ac:dyDescent="0.2">
      <c r="A3" s="79"/>
      <c r="B3" s="79"/>
      <c r="C3" s="79"/>
      <c r="D3" s="55" t="str">
        <f t="shared" ref="D3:D66" si="0">IFERROR(IF(B3="","",C3-B3),"")</f>
        <v/>
      </c>
      <c r="E3" s="56" t="str">
        <f t="shared" ref="E3:E67" si="1">IFERROR(IF(B3="","",IF(B3=0,"",IF(B3="","",(C3/B3)-1))),"")</f>
        <v/>
      </c>
      <c r="F3" s="55" t="str">
        <f t="shared" ref="F3:F66" si="2">IF(Kielivalinta="","",IF(B3="",IF(Kielivalinta="Suomi","Tieto puuttuu :"&amp;B$3,IF(Kielivalinta="Svenska","Information saknas :"&amp;B$3)),""))</f>
        <v/>
      </c>
      <c r="G3" s="55" t="str">
        <f t="shared" ref="G3:G66" si="3">IF(Kielivalinta="","",IF(C3="",IF(Kielivalinta="Suomi","Tieto puuttuu :"&amp;C$3,IF(Kielivalinta="Svenska","Information saknas :"&amp;C$3)),""))</f>
        <v/>
      </c>
    </row>
    <row r="4" spans="1:7" ht="15" x14ac:dyDescent="0.2">
      <c r="A4" s="79"/>
      <c r="B4" s="79"/>
      <c r="C4" s="79"/>
      <c r="D4" s="55" t="str">
        <f t="shared" si="0"/>
        <v/>
      </c>
      <c r="E4" s="56" t="str">
        <f t="shared" si="1"/>
        <v/>
      </c>
      <c r="F4" s="55" t="str">
        <f t="shared" si="2"/>
        <v/>
      </c>
      <c r="G4" s="55" t="str">
        <f t="shared" si="3"/>
        <v/>
      </c>
    </row>
    <row r="5" spans="1:7" ht="15" x14ac:dyDescent="0.2">
      <c r="A5" s="79"/>
      <c r="B5" s="79"/>
      <c r="C5" s="79"/>
      <c r="D5" s="55" t="str">
        <f t="shared" si="0"/>
        <v/>
      </c>
      <c r="E5" s="56" t="str">
        <f t="shared" si="1"/>
        <v/>
      </c>
      <c r="F5" s="55" t="str">
        <f t="shared" si="2"/>
        <v/>
      </c>
      <c r="G5" s="55" t="str">
        <f t="shared" si="3"/>
        <v/>
      </c>
    </row>
    <row r="6" spans="1:7" ht="15" x14ac:dyDescent="0.2">
      <c r="A6" s="79"/>
      <c r="B6" s="79"/>
      <c r="C6" s="79"/>
      <c r="D6" s="55" t="str">
        <f t="shared" si="0"/>
        <v/>
      </c>
      <c r="E6" s="56" t="str">
        <f t="shared" si="1"/>
        <v/>
      </c>
      <c r="F6" s="55" t="str">
        <f t="shared" si="2"/>
        <v/>
      </c>
      <c r="G6" s="55" t="str">
        <f t="shared" si="3"/>
        <v/>
      </c>
    </row>
    <row r="7" spans="1:7" ht="15" x14ac:dyDescent="0.2">
      <c r="A7" s="79"/>
      <c r="B7" s="79"/>
      <c r="C7" s="79"/>
      <c r="D7" s="55" t="str">
        <f t="shared" si="0"/>
        <v/>
      </c>
      <c r="E7" s="56" t="str">
        <f t="shared" si="1"/>
        <v/>
      </c>
      <c r="F7" s="55" t="str">
        <f t="shared" si="2"/>
        <v/>
      </c>
      <c r="G7" s="55" t="str">
        <f t="shared" si="3"/>
        <v/>
      </c>
    </row>
    <row r="8" spans="1:7" ht="15" x14ac:dyDescent="0.2">
      <c r="A8" s="79"/>
      <c r="B8" s="79"/>
      <c r="C8" s="79"/>
      <c r="D8" s="55" t="str">
        <f t="shared" si="0"/>
        <v/>
      </c>
      <c r="E8" s="56" t="str">
        <f t="shared" si="1"/>
        <v/>
      </c>
      <c r="F8" s="55" t="str">
        <f t="shared" si="2"/>
        <v/>
      </c>
      <c r="G8" s="55" t="str">
        <f t="shared" si="3"/>
        <v/>
      </c>
    </row>
    <row r="9" spans="1:7" ht="15" x14ac:dyDescent="0.2">
      <c r="A9" s="79"/>
      <c r="B9" s="79"/>
      <c r="C9" s="79"/>
      <c r="D9" s="55" t="str">
        <f t="shared" si="0"/>
        <v/>
      </c>
      <c r="E9" s="56" t="str">
        <f t="shared" si="1"/>
        <v/>
      </c>
      <c r="F9" s="55" t="str">
        <f t="shared" si="2"/>
        <v/>
      </c>
      <c r="G9" s="55" t="str">
        <f t="shared" si="3"/>
        <v/>
      </c>
    </row>
    <row r="10" spans="1:7" ht="15" x14ac:dyDescent="0.2">
      <c r="A10" s="79"/>
      <c r="B10" s="79"/>
      <c r="C10" s="79"/>
      <c r="D10" s="55" t="str">
        <f t="shared" si="0"/>
        <v/>
      </c>
      <c r="E10" s="56" t="str">
        <f t="shared" si="1"/>
        <v/>
      </c>
      <c r="F10" s="55" t="str">
        <f t="shared" si="2"/>
        <v/>
      </c>
      <c r="G10" s="55" t="str">
        <f t="shared" si="3"/>
        <v/>
      </c>
    </row>
    <row r="11" spans="1:7" ht="15" x14ac:dyDescent="0.2">
      <c r="A11" s="79"/>
      <c r="B11" s="79"/>
      <c r="C11" s="79"/>
      <c r="D11" s="55" t="str">
        <f t="shared" si="0"/>
        <v/>
      </c>
      <c r="E11" s="56" t="str">
        <f t="shared" si="1"/>
        <v/>
      </c>
      <c r="F11" s="55" t="str">
        <f t="shared" si="2"/>
        <v/>
      </c>
      <c r="G11" s="55" t="str">
        <f t="shared" si="3"/>
        <v/>
      </c>
    </row>
    <row r="12" spans="1:7" ht="15" x14ac:dyDescent="0.2">
      <c r="A12" s="79"/>
      <c r="B12" s="79"/>
      <c r="C12" s="79"/>
      <c r="D12" s="55" t="str">
        <f t="shared" si="0"/>
        <v/>
      </c>
      <c r="E12" s="56" t="str">
        <f t="shared" si="1"/>
        <v/>
      </c>
      <c r="F12" s="55" t="str">
        <f t="shared" si="2"/>
        <v/>
      </c>
      <c r="G12" s="55" t="str">
        <f t="shared" si="3"/>
        <v/>
      </c>
    </row>
    <row r="13" spans="1:7" ht="15" x14ac:dyDescent="0.2">
      <c r="A13" s="79"/>
      <c r="B13" s="79"/>
      <c r="C13" s="79"/>
      <c r="D13" s="55" t="str">
        <f t="shared" si="0"/>
        <v/>
      </c>
      <c r="E13" s="56" t="str">
        <f t="shared" si="1"/>
        <v/>
      </c>
      <c r="F13" s="55" t="str">
        <f t="shared" si="2"/>
        <v/>
      </c>
      <c r="G13" s="55" t="str">
        <f t="shared" si="3"/>
        <v/>
      </c>
    </row>
    <row r="14" spans="1:7" ht="15" x14ac:dyDescent="0.2">
      <c r="A14" s="79"/>
      <c r="B14" s="79"/>
      <c r="C14" s="79"/>
      <c r="D14" s="55" t="str">
        <f t="shared" si="0"/>
        <v/>
      </c>
      <c r="E14" s="56" t="str">
        <f t="shared" si="1"/>
        <v/>
      </c>
      <c r="F14" s="55" t="str">
        <f t="shared" si="2"/>
        <v/>
      </c>
      <c r="G14" s="55" t="str">
        <f t="shared" si="3"/>
        <v/>
      </c>
    </row>
    <row r="15" spans="1:7" ht="15" x14ac:dyDescent="0.2">
      <c r="A15" s="79"/>
      <c r="B15" s="79"/>
      <c r="C15" s="79"/>
      <c r="D15" s="55" t="str">
        <f t="shared" si="0"/>
        <v/>
      </c>
      <c r="E15" s="56" t="str">
        <f t="shared" si="1"/>
        <v/>
      </c>
      <c r="F15" s="55" t="str">
        <f t="shared" si="2"/>
        <v/>
      </c>
      <c r="G15" s="55" t="str">
        <f t="shared" si="3"/>
        <v/>
      </c>
    </row>
    <row r="16" spans="1:7" ht="15" x14ac:dyDescent="0.2">
      <c r="A16" s="79"/>
      <c r="B16" s="79"/>
      <c r="C16" s="79"/>
      <c r="D16" s="55" t="str">
        <f t="shared" si="0"/>
        <v/>
      </c>
      <c r="E16" s="56" t="str">
        <f t="shared" si="1"/>
        <v/>
      </c>
      <c r="F16" s="55" t="str">
        <f t="shared" si="2"/>
        <v/>
      </c>
      <c r="G16" s="55" t="str">
        <f t="shared" si="3"/>
        <v/>
      </c>
    </row>
    <row r="17" spans="1:14" ht="15" x14ac:dyDescent="0.2">
      <c r="A17" s="79"/>
      <c r="B17" s="79"/>
      <c r="C17" s="79"/>
      <c r="D17" s="55" t="str">
        <f t="shared" si="0"/>
        <v/>
      </c>
      <c r="E17" s="56" t="str">
        <f t="shared" si="1"/>
        <v/>
      </c>
      <c r="F17" s="55" t="str">
        <f t="shared" si="2"/>
        <v/>
      </c>
      <c r="G17" s="55" t="str">
        <f t="shared" si="3"/>
        <v/>
      </c>
    </row>
    <row r="18" spans="1:14" ht="15" x14ac:dyDescent="0.2">
      <c r="A18" s="79"/>
      <c r="B18" s="79"/>
      <c r="C18" s="79"/>
      <c r="D18" s="55" t="str">
        <f t="shared" si="0"/>
        <v/>
      </c>
      <c r="E18" s="56" t="str">
        <f t="shared" si="1"/>
        <v/>
      </c>
      <c r="F18" s="55" t="str">
        <f t="shared" si="2"/>
        <v/>
      </c>
      <c r="G18" s="55" t="str">
        <f t="shared" si="3"/>
        <v/>
      </c>
    </row>
    <row r="19" spans="1:14" ht="15" x14ac:dyDescent="0.2">
      <c r="A19" s="79"/>
      <c r="B19" s="79"/>
      <c r="C19" s="79"/>
      <c r="D19" s="55" t="str">
        <f t="shared" si="0"/>
        <v/>
      </c>
      <c r="E19" s="56" t="str">
        <f t="shared" si="1"/>
        <v/>
      </c>
      <c r="F19" s="55" t="str">
        <f t="shared" si="2"/>
        <v/>
      </c>
      <c r="G19" s="55" t="str">
        <f t="shared" si="3"/>
        <v/>
      </c>
    </row>
    <row r="20" spans="1:14" ht="15" x14ac:dyDescent="0.2">
      <c r="A20" s="79"/>
      <c r="B20" s="79"/>
      <c r="C20" s="79"/>
      <c r="D20" s="55" t="str">
        <f t="shared" si="0"/>
        <v/>
      </c>
      <c r="E20" s="56" t="str">
        <f t="shared" si="1"/>
        <v/>
      </c>
      <c r="F20" s="55" t="str">
        <f t="shared" si="2"/>
        <v/>
      </c>
      <c r="G20" s="55" t="str">
        <f t="shared" si="3"/>
        <v/>
      </c>
    </row>
    <row r="21" spans="1:14" ht="15" customHeight="1" x14ac:dyDescent="0.2">
      <c r="A21" s="79"/>
      <c r="B21" s="79"/>
      <c r="C21" s="79"/>
      <c r="D21" s="55" t="str">
        <f t="shared" si="0"/>
        <v/>
      </c>
      <c r="E21" s="56" t="str">
        <f t="shared" si="1"/>
        <v/>
      </c>
      <c r="F21" s="55" t="str">
        <f t="shared" si="2"/>
        <v/>
      </c>
      <c r="G21" s="55" t="str">
        <f t="shared" si="3"/>
        <v/>
      </c>
    </row>
    <row r="22" spans="1:14" ht="15" x14ac:dyDescent="0.2">
      <c r="A22" s="79"/>
      <c r="B22" s="79"/>
      <c r="C22" s="79"/>
      <c r="D22" s="55" t="str">
        <f t="shared" si="0"/>
        <v/>
      </c>
      <c r="E22" s="56" t="str">
        <f t="shared" si="1"/>
        <v/>
      </c>
      <c r="F22" s="55" t="str">
        <f t="shared" si="2"/>
        <v/>
      </c>
      <c r="G22" s="55" t="str">
        <f t="shared" si="3"/>
        <v/>
      </c>
    </row>
    <row r="23" spans="1:14" ht="15" x14ac:dyDescent="0.2">
      <c r="A23" s="79"/>
      <c r="B23" s="79"/>
      <c r="C23" s="79"/>
      <c r="D23" s="55" t="str">
        <f t="shared" si="0"/>
        <v/>
      </c>
      <c r="E23" s="56" t="str">
        <f t="shared" si="1"/>
        <v/>
      </c>
      <c r="F23" s="55" t="str">
        <f t="shared" si="2"/>
        <v/>
      </c>
      <c r="G23" s="55" t="str">
        <f t="shared" si="3"/>
        <v/>
      </c>
    </row>
    <row r="24" spans="1:14" ht="15" x14ac:dyDescent="0.2">
      <c r="A24" s="79"/>
      <c r="B24" s="79"/>
      <c r="C24" s="79"/>
      <c r="D24" s="55" t="str">
        <f t="shared" si="0"/>
        <v/>
      </c>
      <c r="E24" s="56" t="str">
        <f t="shared" si="1"/>
        <v/>
      </c>
      <c r="F24" s="55" t="str">
        <f t="shared" si="2"/>
        <v/>
      </c>
      <c r="G24" s="55" t="str">
        <f t="shared" si="3"/>
        <v/>
      </c>
    </row>
    <row r="25" spans="1:14" ht="15" x14ac:dyDescent="0.2">
      <c r="A25" s="79"/>
      <c r="B25" s="79"/>
      <c r="C25" s="79"/>
      <c r="D25" s="55" t="str">
        <f t="shared" si="0"/>
        <v/>
      </c>
      <c r="E25" s="56" t="str">
        <f t="shared" si="1"/>
        <v/>
      </c>
      <c r="F25" s="55" t="str">
        <f t="shared" si="2"/>
        <v/>
      </c>
      <c r="G25" s="55" t="str">
        <f t="shared" si="3"/>
        <v/>
      </c>
    </row>
    <row r="26" spans="1:14" ht="15" x14ac:dyDescent="0.2">
      <c r="A26" s="79"/>
      <c r="B26" s="79"/>
      <c r="C26" s="79"/>
      <c r="D26" s="55" t="str">
        <f t="shared" si="0"/>
        <v/>
      </c>
      <c r="E26" s="56" t="str">
        <f t="shared" si="1"/>
        <v/>
      </c>
      <c r="F26" s="55" t="str">
        <f t="shared" si="2"/>
        <v/>
      </c>
      <c r="G26" s="55" t="str">
        <f t="shared" si="3"/>
        <v/>
      </c>
    </row>
    <row r="27" spans="1:14" ht="15" x14ac:dyDescent="0.2">
      <c r="A27" s="79"/>
      <c r="B27" s="79"/>
      <c r="C27" s="79"/>
      <c r="D27" s="55" t="str">
        <f t="shared" si="0"/>
        <v/>
      </c>
      <c r="E27" s="56" t="str">
        <f t="shared" si="1"/>
        <v/>
      </c>
      <c r="F27" s="55" t="str">
        <f t="shared" si="2"/>
        <v/>
      </c>
      <c r="G27" s="55" t="str">
        <f t="shared" si="3"/>
        <v/>
      </c>
      <c r="M27" s="55" t="str">
        <f>IF(Kielivalinta="","",IF(Kielivalinta="Suomi",IF(M26&lt;&gt;0,"Htv-luku kohdissa "&amp;LEFT($L24,5)&amp;" ja "&amp;LEFT($L25,5)&amp;" ei täsmää","ok"),IF(Kielivalinta="Svenska",IF(M26&lt;&gt;0,"Årsverken i "&amp;LEFT($L24,5)&amp;" och "&amp;LEFT($L25,5)&amp;" stämmer inte","ok"))))</f>
        <v/>
      </c>
    </row>
    <row r="28" spans="1:14" ht="15" x14ac:dyDescent="0.2">
      <c r="A28" s="79"/>
      <c r="B28" s="79"/>
      <c r="C28" s="79"/>
      <c r="D28" s="55" t="str">
        <f t="shared" si="0"/>
        <v/>
      </c>
      <c r="E28" s="56" t="str">
        <f t="shared" si="1"/>
        <v/>
      </c>
      <c r="F28" s="55" t="str">
        <f t="shared" si="2"/>
        <v/>
      </c>
      <c r="G28" s="55" t="str">
        <f t="shared" si="3"/>
        <v/>
      </c>
    </row>
    <row r="29" spans="1:14" ht="15" x14ac:dyDescent="0.2">
      <c r="A29" s="79"/>
      <c r="B29" s="79"/>
      <c r="C29" s="79"/>
      <c r="D29" s="55" t="str">
        <f t="shared" si="0"/>
        <v/>
      </c>
      <c r="E29" s="56" t="str">
        <f t="shared" si="1"/>
        <v/>
      </c>
      <c r="F29" s="55" t="str">
        <f t="shared" si="2"/>
        <v/>
      </c>
      <c r="G29" s="55" t="str">
        <f t="shared" si="3"/>
        <v/>
      </c>
    </row>
    <row r="30" spans="1:14" ht="15" x14ac:dyDescent="0.2">
      <c r="A30" s="79"/>
      <c r="B30" s="79"/>
      <c r="C30" s="79"/>
      <c r="D30" s="55" t="str">
        <f t="shared" si="0"/>
        <v/>
      </c>
      <c r="E30" s="56" t="str">
        <f t="shared" si="1"/>
        <v/>
      </c>
      <c r="F30" s="55" t="str">
        <f t="shared" si="2"/>
        <v/>
      </c>
      <c r="G30" s="55" t="str">
        <f t="shared" si="3"/>
        <v/>
      </c>
    </row>
    <row r="31" spans="1:14" ht="15" x14ac:dyDescent="0.2">
      <c r="A31" s="79"/>
      <c r="B31" s="79"/>
      <c r="C31" s="79"/>
      <c r="D31" s="55" t="str">
        <f t="shared" si="0"/>
        <v/>
      </c>
      <c r="E31" s="56" t="str">
        <f t="shared" si="1"/>
        <v/>
      </c>
      <c r="F31" s="55" t="str">
        <f t="shared" si="2"/>
        <v/>
      </c>
      <c r="G31" s="55" t="str">
        <f t="shared" si="3"/>
        <v/>
      </c>
    </row>
    <row r="32" spans="1:14" ht="15" x14ac:dyDescent="0.2">
      <c r="A32" s="79"/>
      <c r="B32" s="79"/>
      <c r="C32" s="79"/>
      <c r="D32" s="55" t="str">
        <f t="shared" si="0"/>
        <v/>
      </c>
      <c r="E32" s="56" t="str">
        <f t="shared" si="1"/>
        <v/>
      </c>
      <c r="F32" s="55" t="str">
        <f t="shared" si="2"/>
        <v/>
      </c>
      <c r="G32" s="55" t="str">
        <f t="shared" si="3"/>
        <v/>
      </c>
      <c r="M32" s="55" t="str">
        <f>IF(Kielivalinta="","",IF(Kielivalinta="Suomi",IF(M31=0,"Kirjastolla pitää olla vähintään yksi hallinnollinen yksikkö","ok"),IF(Kielivalinta="Svenska",IF(M31=0,"Biblioteket måste ha minst en administrativ enhet","ok"))))</f>
        <v/>
      </c>
      <c r="N32" s="55" t="str">
        <f>IF(Kielivalinta="","",IF(Kielivalinta="Suomi",IF(N31=0,"Kirjastolla pitää olla vähintään yksi hallinnollinen yksikkö","ok"),IF(Kielivalinta="Svenska",IF(N31=0,"Biblioteket måste ha minst en administrativ enhet","ok"))))</f>
        <v/>
      </c>
    </row>
    <row r="33" spans="1:7" ht="15" x14ac:dyDescent="0.2">
      <c r="A33" s="79"/>
      <c r="B33" s="79"/>
      <c r="C33" s="79"/>
      <c r="D33" s="55" t="str">
        <f t="shared" si="0"/>
        <v/>
      </c>
      <c r="E33" s="56" t="str">
        <f t="shared" si="1"/>
        <v/>
      </c>
      <c r="F33" s="55" t="str">
        <f t="shared" si="2"/>
        <v/>
      </c>
      <c r="G33" s="55" t="str">
        <f t="shared" si="3"/>
        <v/>
      </c>
    </row>
    <row r="34" spans="1:7" ht="15" x14ac:dyDescent="0.2">
      <c r="A34" s="79"/>
      <c r="B34" s="79"/>
      <c r="C34" s="79"/>
      <c r="D34" s="55" t="str">
        <f t="shared" si="0"/>
        <v/>
      </c>
      <c r="E34" s="56" t="str">
        <f t="shared" si="1"/>
        <v/>
      </c>
      <c r="F34" s="55" t="str">
        <f t="shared" si="2"/>
        <v/>
      </c>
      <c r="G34" s="55" t="str">
        <f t="shared" si="3"/>
        <v/>
      </c>
    </row>
    <row r="35" spans="1:7" ht="15" x14ac:dyDescent="0.2">
      <c r="A35" s="79"/>
      <c r="B35" s="79"/>
      <c r="C35" s="79"/>
      <c r="D35" s="55" t="str">
        <f t="shared" si="0"/>
        <v/>
      </c>
      <c r="E35" s="56" t="str">
        <f t="shared" si="1"/>
        <v/>
      </c>
      <c r="F35" s="55" t="str">
        <f t="shared" si="2"/>
        <v/>
      </c>
      <c r="G35" s="55" t="str">
        <f t="shared" si="3"/>
        <v/>
      </c>
    </row>
    <row r="36" spans="1:7" ht="15" x14ac:dyDescent="0.2">
      <c r="A36" s="79"/>
      <c r="B36" s="79"/>
      <c r="C36" s="79"/>
      <c r="D36" s="55" t="str">
        <f t="shared" si="0"/>
        <v/>
      </c>
      <c r="E36" s="56" t="str">
        <f t="shared" si="1"/>
        <v/>
      </c>
      <c r="F36" s="55" t="str">
        <f t="shared" si="2"/>
        <v/>
      </c>
      <c r="G36" s="55" t="str">
        <f t="shared" si="3"/>
        <v/>
      </c>
    </row>
    <row r="37" spans="1:7" ht="15" x14ac:dyDescent="0.2">
      <c r="A37" s="79"/>
      <c r="B37" s="79"/>
      <c r="C37" s="79"/>
      <c r="D37" s="55" t="str">
        <f t="shared" si="0"/>
        <v/>
      </c>
      <c r="E37" s="56" t="str">
        <f t="shared" si="1"/>
        <v/>
      </c>
      <c r="F37" s="55" t="str">
        <f t="shared" si="2"/>
        <v/>
      </c>
      <c r="G37" s="55" t="str">
        <f t="shared" si="3"/>
        <v/>
      </c>
    </row>
    <row r="38" spans="1:7" ht="15" x14ac:dyDescent="0.2">
      <c r="A38" s="79"/>
      <c r="B38" s="79"/>
      <c r="C38" s="79"/>
      <c r="D38" s="55" t="str">
        <f t="shared" si="0"/>
        <v/>
      </c>
      <c r="E38" s="56" t="str">
        <f t="shared" si="1"/>
        <v/>
      </c>
      <c r="F38" s="55" t="str">
        <f t="shared" si="2"/>
        <v/>
      </c>
      <c r="G38" s="55" t="str">
        <f t="shared" si="3"/>
        <v/>
      </c>
    </row>
    <row r="39" spans="1:7" ht="15" x14ac:dyDescent="0.2">
      <c r="A39" s="79"/>
      <c r="B39" s="79"/>
      <c r="C39" s="79"/>
      <c r="D39" s="55" t="str">
        <f t="shared" si="0"/>
        <v/>
      </c>
      <c r="E39" s="56" t="str">
        <f t="shared" si="1"/>
        <v/>
      </c>
      <c r="F39" s="55" t="str">
        <f t="shared" si="2"/>
        <v/>
      </c>
      <c r="G39" s="55" t="str">
        <f t="shared" si="3"/>
        <v/>
      </c>
    </row>
    <row r="40" spans="1:7" ht="15" x14ac:dyDescent="0.2">
      <c r="A40" s="79"/>
      <c r="B40" s="79"/>
      <c r="C40" s="79"/>
      <c r="D40" s="55" t="str">
        <f t="shared" si="0"/>
        <v/>
      </c>
      <c r="E40" s="56" t="str">
        <f t="shared" si="1"/>
        <v/>
      </c>
      <c r="F40" s="55" t="str">
        <f t="shared" si="2"/>
        <v/>
      </c>
      <c r="G40" s="55" t="str">
        <f t="shared" si="3"/>
        <v/>
      </c>
    </row>
    <row r="41" spans="1:7" ht="15" x14ac:dyDescent="0.2">
      <c r="A41" s="79"/>
      <c r="B41" s="79"/>
      <c r="C41" s="79"/>
      <c r="D41" s="55" t="str">
        <f t="shared" si="0"/>
        <v/>
      </c>
      <c r="E41" s="56" t="str">
        <f t="shared" si="1"/>
        <v/>
      </c>
      <c r="F41" s="55" t="str">
        <f t="shared" si="2"/>
        <v/>
      </c>
      <c r="G41" s="55" t="str">
        <f t="shared" si="3"/>
        <v/>
      </c>
    </row>
    <row r="42" spans="1:7" ht="15" x14ac:dyDescent="0.2">
      <c r="A42" s="79"/>
      <c r="B42" s="79"/>
      <c r="C42" s="79"/>
      <c r="D42" s="55" t="str">
        <f t="shared" si="0"/>
        <v/>
      </c>
      <c r="E42" s="56" t="str">
        <f t="shared" si="1"/>
        <v/>
      </c>
      <c r="F42" s="55" t="str">
        <f t="shared" si="2"/>
        <v/>
      </c>
      <c r="G42" s="55" t="str">
        <f t="shared" si="3"/>
        <v/>
      </c>
    </row>
    <row r="43" spans="1:7" ht="15" x14ac:dyDescent="0.2">
      <c r="A43" s="79"/>
      <c r="B43" s="79"/>
      <c r="C43" s="79"/>
      <c r="D43" s="55" t="str">
        <f t="shared" si="0"/>
        <v/>
      </c>
      <c r="E43" s="56" t="str">
        <f t="shared" si="1"/>
        <v/>
      </c>
      <c r="F43" s="55" t="str">
        <f t="shared" si="2"/>
        <v/>
      </c>
      <c r="G43" s="55" t="str">
        <f t="shared" si="3"/>
        <v/>
      </c>
    </row>
    <row r="44" spans="1:7" ht="15" x14ac:dyDescent="0.2">
      <c r="A44" s="79"/>
      <c r="B44" s="79"/>
      <c r="C44" s="79"/>
      <c r="D44" s="55" t="str">
        <f t="shared" si="0"/>
        <v/>
      </c>
      <c r="E44" s="56" t="str">
        <f t="shared" si="1"/>
        <v/>
      </c>
      <c r="F44" s="55" t="str">
        <f t="shared" si="2"/>
        <v/>
      </c>
      <c r="G44" s="55" t="str">
        <f t="shared" si="3"/>
        <v/>
      </c>
    </row>
    <row r="45" spans="1:7" ht="15" x14ac:dyDescent="0.2">
      <c r="A45" s="79"/>
      <c r="B45" s="79"/>
      <c r="C45" s="79"/>
      <c r="D45" s="55" t="str">
        <f t="shared" si="0"/>
        <v/>
      </c>
      <c r="E45" s="56" t="str">
        <f t="shared" si="1"/>
        <v/>
      </c>
      <c r="F45" s="55" t="str">
        <f t="shared" si="2"/>
        <v/>
      </c>
      <c r="G45" s="55" t="str">
        <f t="shared" si="3"/>
        <v/>
      </c>
    </row>
    <row r="46" spans="1:7" ht="15" x14ac:dyDescent="0.2">
      <c r="A46" s="79"/>
      <c r="B46" s="79"/>
      <c r="C46" s="79"/>
      <c r="D46" s="55" t="str">
        <f t="shared" si="0"/>
        <v/>
      </c>
      <c r="E46" s="56" t="str">
        <f t="shared" si="1"/>
        <v/>
      </c>
      <c r="F46" s="55" t="str">
        <f t="shared" si="2"/>
        <v/>
      </c>
      <c r="G46" s="55" t="str">
        <f t="shared" si="3"/>
        <v/>
      </c>
    </row>
    <row r="47" spans="1:7" ht="15" x14ac:dyDescent="0.2">
      <c r="A47" s="79"/>
      <c r="B47" s="79"/>
      <c r="C47" s="79"/>
      <c r="D47" s="55" t="str">
        <f t="shared" si="0"/>
        <v/>
      </c>
      <c r="E47" s="56" t="str">
        <f t="shared" si="1"/>
        <v/>
      </c>
      <c r="F47" s="55" t="str">
        <f t="shared" si="2"/>
        <v/>
      </c>
      <c r="G47" s="55" t="str">
        <f t="shared" si="3"/>
        <v/>
      </c>
    </row>
    <row r="48" spans="1:7" ht="15" x14ac:dyDescent="0.2">
      <c r="A48" s="79"/>
      <c r="B48" s="79"/>
      <c r="C48" s="79"/>
      <c r="D48" s="55" t="str">
        <f t="shared" si="0"/>
        <v/>
      </c>
      <c r="E48" s="56" t="str">
        <f t="shared" si="1"/>
        <v/>
      </c>
      <c r="F48" s="55" t="str">
        <f t="shared" si="2"/>
        <v/>
      </c>
      <c r="G48" s="55" t="str">
        <f t="shared" si="3"/>
        <v/>
      </c>
    </row>
    <row r="49" spans="1:7" ht="15" x14ac:dyDescent="0.2">
      <c r="A49" s="79"/>
      <c r="B49" s="79"/>
      <c r="C49" s="79"/>
      <c r="D49" s="55" t="str">
        <f t="shared" si="0"/>
        <v/>
      </c>
      <c r="E49" s="56" t="str">
        <f t="shared" si="1"/>
        <v/>
      </c>
      <c r="F49" s="55" t="str">
        <f t="shared" si="2"/>
        <v/>
      </c>
      <c r="G49" s="55" t="str">
        <f t="shared" si="3"/>
        <v/>
      </c>
    </row>
    <row r="50" spans="1:7" ht="15" x14ac:dyDescent="0.2">
      <c r="A50" s="79"/>
      <c r="B50" s="79"/>
      <c r="C50" s="79"/>
      <c r="D50" s="55" t="str">
        <f t="shared" si="0"/>
        <v/>
      </c>
      <c r="E50" s="56" t="str">
        <f t="shared" si="1"/>
        <v/>
      </c>
      <c r="F50" s="55" t="str">
        <f t="shared" si="2"/>
        <v/>
      </c>
      <c r="G50" s="55" t="str">
        <f t="shared" si="3"/>
        <v/>
      </c>
    </row>
    <row r="51" spans="1:7" ht="15" x14ac:dyDescent="0.2">
      <c r="A51" s="79"/>
      <c r="B51" s="79"/>
      <c r="C51" s="79"/>
      <c r="D51" s="55" t="str">
        <f t="shared" si="0"/>
        <v/>
      </c>
      <c r="E51" s="56" t="str">
        <f t="shared" si="1"/>
        <v/>
      </c>
      <c r="F51" s="55" t="str">
        <f t="shared" si="2"/>
        <v/>
      </c>
      <c r="G51" s="55" t="str">
        <f t="shared" si="3"/>
        <v/>
      </c>
    </row>
    <row r="52" spans="1:7" ht="15" x14ac:dyDescent="0.2">
      <c r="A52" s="79"/>
      <c r="B52" s="79"/>
      <c r="C52" s="79"/>
      <c r="D52" s="55" t="str">
        <f t="shared" si="0"/>
        <v/>
      </c>
      <c r="E52" s="56" t="str">
        <f t="shared" si="1"/>
        <v/>
      </c>
      <c r="F52" s="55" t="str">
        <f t="shared" si="2"/>
        <v/>
      </c>
      <c r="G52" s="55" t="str">
        <f t="shared" si="3"/>
        <v/>
      </c>
    </row>
    <row r="53" spans="1:7" ht="15" x14ac:dyDescent="0.2">
      <c r="A53" s="79"/>
      <c r="B53" s="79"/>
      <c r="C53" s="79"/>
      <c r="D53" s="55" t="str">
        <f t="shared" si="0"/>
        <v/>
      </c>
      <c r="E53" s="56" t="str">
        <f t="shared" si="1"/>
        <v/>
      </c>
      <c r="F53" s="55" t="str">
        <f t="shared" si="2"/>
        <v/>
      </c>
      <c r="G53" s="55" t="str">
        <f t="shared" si="3"/>
        <v/>
      </c>
    </row>
    <row r="54" spans="1:7" ht="15" x14ac:dyDescent="0.2">
      <c r="A54" s="79"/>
      <c r="B54" s="79"/>
      <c r="C54" s="79"/>
      <c r="D54" s="55" t="str">
        <f t="shared" si="0"/>
        <v/>
      </c>
      <c r="E54" s="56" t="str">
        <f t="shared" si="1"/>
        <v/>
      </c>
      <c r="F54" s="55" t="str">
        <f t="shared" si="2"/>
        <v/>
      </c>
      <c r="G54" s="55" t="str">
        <f t="shared" si="3"/>
        <v/>
      </c>
    </row>
    <row r="55" spans="1:7" ht="15" x14ac:dyDescent="0.2">
      <c r="A55" s="79"/>
      <c r="B55" s="79"/>
      <c r="C55" s="79"/>
      <c r="D55" s="55" t="str">
        <f t="shared" si="0"/>
        <v/>
      </c>
      <c r="E55" s="56" t="str">
        <f t="shared" si="1"/>
        <v/>
      </c>
      <c r="F55" s="55" t="str">
        <f t="shared" si="2"/>
        <v/>
      </c>
      <c r="G55" s="55" t="str">
        <f t="shared" si="3"/>
        <v/>
      </c>
    </row>
    <row r="56" spans="1:7" ht="15" x14ac:dyDescent="0.2">
      <c r="A56" s="79"/>
      <c r="B56" s="79"/>
      <c r="C56" s="79"/>
      <c r="D56" s="55" t="str">
        <f t="shared" si="0"/>
        <v/>
      </c>
      <c r="E56" s="56" t="str">
        <f t="shared" si="1"/>
        <v/>
      </c>
      <c r="F56" s="55" t="str">
        <f t="shared" si="2"/>
        <v/>
      </c>
      <c r="G56" s="55" t="str">
        <f t="shared" si="3"/>
        <v/>
      </c>
    </row>
    <row r="57" spans="1:7" ht="15" x14ac:dyDescent="0.2">
      <c r="A57" s="79"/>
      <c r="B57" s="79"/>
      <c r="C57" s="79"/>
      <c r="D57" s="55" t="str">
        <f t="shared" si="0"/>
        <v/>
      </c>
      <c r="E57" s="56" t="str">
        <f t="shared" si="1"/>
        <v/>
      </c>
      <c r="F57" s="55" t="str">
        <f t="shared" si="2"/>
        <v/>
      </c>
      <c r="G57" s="55" t="str">
        <f t="shared" si="3"/>
        <v/>
      </c>
    </row>
    <row r="58" spans="1:7" ht="15" x14ac:dyDescent="0.2">
      <c r="A58" s="79"/>
      <c r="B58" s="79"/>
      <c r="C58" s="79"/>
      <c r="D58" s="55" t="str">
        <f t="shared" si="0"/>
        <v/>
      </c>
      <c r="E58" s="56" t="str">
        <f t="shared" si="1"/>
        <v/>
      </c>
      <c r="F58" s="55" t="str">
        <f t="shared" si="2"/>
        <v/>
      </c>
      <c r="G58" s="55" t="str">
        <f t="shared" si="3"/>
        <v/>
      </c>
    </row>
    <row r="59" spans="1:7" ht="15" x14ac:dyDescent="0.2">
      <c r="A59" s="79"/>
      <c r="B59" s="79"/>
      <c r="C59" s="79"/>
      <c r="D59" s="55" t="str">
        <f t="shared" si="0"/>
        <v/>
      </c>
      <c r="E59" s="56" t="str">
        <f t="shared" si="1"/>
        <v/>
      </c>
      <c r="F59" s="55" t="str">
        <f t="shared" si="2"/>
        <v/>
      </c>
      <c r="G59" s="55" t="str">
        <f t="shared" si="3"/>
        <v/>
      </c>
    </row>
    <row r="60" spans="1:7" ht="15" x14ac:dyDescent="0.2">
      <c r="A60" s="79"/>
      <c r="B60" s="79"/>
      <c r="C60" s="79"/>
      <c r="D60" s="55" t="str">
        <f t="shared" si="0"/>
        <v/>
      </c>
      <c r="E60" s="56" t="str">
        <f t="shared" si="1"/>
        <v/>
      </c>
      <c r="F60" s="55" t="str">
        <f t="shared" si="2"/>
        <v/>
      </c>
      <c r="G60" s="55" t="str">
        <f t="shared" si="3"/>
        <v/>
      </c>
    </row>
    <row r="61" spans="1:7" ht="15" x14ac:dyDescent="0.2">
      <c r="A61" s="79"/>
      <c r="B61" s="79"/>
      <c r="C61" s="79"/>
      <c r="D61" s="55" t="str">
        <f t="shared" si="0"/>
        <v/>
      </c>
      <c r="E61" s="56" t="str">
        <f t="shared" si="1"/>
        <v/>
      </c>
      <c r="F61" s="55" t="str">
        <f t="shared" si="2"/>
        <v/>
      </c>
      <c r="G61" s="55" t="str">
        <f t="shared" si="3"/>
        <v/>
      </c>
    </row>
    <row r="62" spans="1:7" ht="15" x14ac:dyDescent="0.2">
      <c r="A62" s="79"/>
      <c r="B62" s="79"/>
      <c r="C62" s="79"/>
      <c r="D62" s="55" t="str">
        <f t="shared" si="0"/>
        <v/>
      </c>
      <c r="E62" s="56" t="str">
        <f t="shared" si="1"/>
        <v/>
      </c>
      <c r="F62" s="55" t="str">
        <f t="shared" si="2"/>
        <v/>
      </c>
      <c r="G62" s="55" t="str">
        <f t="shared" si="3"/>
        <v/>
      </c>
    </row>
    <row r="63" spans="1:7" ht="15" x14ac:dyDescent="0.2">
      <c r="A63" s="79"/>
      <c r="B63" s="79"/>
      <c r="C63" s="79"/>
      <c r="D63" s="55" t="str">
        <f t="shared" si="0"/>
        <v/>
      </c>
      <c r="E63" s="56" t="str">
        <f t="shared" si="1"/>
        <v/>
      </c>
      <c r="F63" s="55" t="str">
        <f t="shared" si="2"/>
        <v/>
      </c>
      <c r="G63" s="55" t="str">
        <f t="shared" si="3"/>
        <v/>
      </c>
    </row>
    <row r="64" spans="1:7" ht="15" x14ac:dyDescent="0.2">
      <c r="A64" s="79"/>
      <c r="B64" s="79"/>
      <c r="C64" s="79"/>
      <c r="D64" s="55" t="str">
        <f t="shared" si="0"/>
        <v/>
      </c>
      <c r="E64" s="56" t="str">
        <f t="shared" si="1"/>
        <v/>
      </c>
      <c r="F64" s="55" t="str">
        <f t="shared" si="2"/>
        <v/>
      </c>
      <c r="G64" s="55" t="str">
        <f t="shared" si="3"/>
        <v/>
      </c>
    </row>
    <row r="65" spans="1:7" ht="15" x14ac:dyDescent="0.2">
      <c r="A65" s="79"/>
      <c r="B65" s="79"/>
      <c r="C65" s="79"/>
      <c r="D65" s="55" t="str">
        <f t="shared" si="0"/>
        <v/>
      </c>
      <c r="E65" s="56" t="str">
        <f t="shared" si="1"/>
        <v/>
      </c>
      <c r="F65" s="55" t="str">
        <f t="shared" si="2"/>
        <v/>
      </c>
      <c r="G65" s="55" t="str">
        <f t="shared" si="3"/>
        <v/>
      </c>
    </row>
    <row r="66" spans="1:7" ht="15" x14ac:dyDescent="0.2">
      <c r="A66" s="79"/>
      <c r="B66" s="79"/>
      <c r="C66" s="79"/>
      <c r="D66" s="55" t="str">
        <f t="shared" si="0"/>
        <v/>
      </c>
      <c r="E66" s="56" t="str">
        <f t="shared" si="1"/>
        <v/>
      </c>
      <c r="F66" s="55" t="str">
        <f t="shared" si="2"/>
        <v/>
      </c>
      <c r="G66" s="55" t="str">
        <f t="shared" si="3"/>
        <v/>
      </c>
    </row>
    <row r="67" spans="1:7" ht="15" x14ac:dyDescent="0.2">
      <c r="A67" s="79"/>
      <c r="B67" s="79"/>
      <c r="C67" s="79"/>
      <c r="D67" s="55" t="str">
        <f t="shared" ref="D67:D130" si="4">IFERROR(IF(B67="","",C67-B67),"")</f>
        <v/>
      </c>
      <c r="E67" s="56" t="str">
        <f t="shared" si="1"/>
        <v/>
      </c>
      <c r="F67" s="55" t="str">
        <f t="shared" ref="F67:F130" si="5">IF(Kielivalinta="","",IF(B67="",IF(Kielivalinta="Suomi","Tieto puuttuu :"&amp;B$3,IF(Kielivalinta="Svenska","Information saknas :"&amp;B$3)),""))</f>
        <v/>
      </c>
      <c r="G67" s="55" t="str">
        <f t="shared" ref="G67:G130" si="6">IF(Kielivalinta="","",IF(C67="",IF(Kielivalinta="Suomi","Tieto puuttuu :"&amp;C$3,IF(Kielivalinta="Svenska","Information saknas :"&amp;C$3)),""))</f>
        <v/>
      </c>
    </row>
    <row r="68" spans="1:7" ht="15" x14ac:dyDescent="0.2">
      <c r="A68" s="79"/>
      <c r="B68" s="79"/>
      <c r="C68" s="79"/>
      <c r="D68" s="55" t="str">
        <f t="shared" si="4"/>
        <v/>
      </c>
      <c r="E68" s="56" t="str">
        <f t="shared" ref="E68:E131" si="7">IFERROR(IF(B68="","",IF(B68=0,"",IF(B68="","",(C68/B68)-1))),"")</f>
        <v/>
      </c>
      <c r="F68" s="55" t="str">
        <f t="shared" si="5"/>
        <v/>
      </c>
      <c r="G68" s="55" t="str">
        <f t="shared" si="6"/>
        <v/>
      </c>
    </row>
    <row r="69" spans="1:7" ht="15" x14ac:dyDescent="0.2">
      <c r="A69" s="79"/>
      <c r="B69" s="79"/>
      <c r="C69" s="79"/>
      <c r="D69" s="55" t="str">
        <f t="shared" si="4"/>
        <v/>
      </c>
      <c r="E69" s="56" t="str">
        <f t="shared" si="7"/>
        <v/>
      </c>
      <c r="F69" s="55" t="str">
        <f t="shared" si="5"/>
        <v/>
      </c>
      <c r="G69" s="55" t="str">
        <f t="shared" si="6"/>
        <v/>
      </c>
    </row>
    <row r="70" spans="1:7" ht="15" x14ac:dyDescent="0.2">
      <c r="A70" s="79"/>
      <c r="B70" s="79"/>
      <c r="C70" s="79"/>
      <c r="D70" s="55" t="str">
        <f t="shared" si="4"/>
        <v/>
      </c>
      <c r="E70" s="56" t="str">
        <f t="shared" si="7"/>
        <v/>
      </c>
      <c r="F70" s="55" t="str">
        <f t="shared" si="5"/>
        <v/>
      </c>
      <c r="G70" s="55" t="str">
        <f t="shared" si="6"/>
        <v/>
      </c>
    </row>
    <row r="71" spans="1:7" ht="15" x14ac:dyDescent="0.2">
      <c r="A71" s="79"/>
      <c r="B71" s="79"/>
      <c r="C71" s="79"/>
      <c r="D71" s="55" t="str">
        <f t="shared" si="4"/>
        <v/>
      </c>
      <c r="E71" s="56" t="str">
        <f t="shared" si="7"/>
        <v/>
      </c>
      <c r="F71" s="55" t="str">
        <f t="shared" si="5"/>
        <v/>
      </c>
      <c r="G71" s="55" t="str">
        <f t="shared" si="6"/>
        <v/>
      </c>
    </row>
    <row r="72" spans="1:7" ht="15" x14ac:dyDescent="0.2">
      <c r="A72" s="79"/>
      <c r="B72" s="79"/>
      <c r="C72" s="79"/>
      <c r="D72" s="55" t="str">
        <f t="shared" si="4"/>
        <v/>
      </c>
      <c r="E72" s="56" t="str">
        <f t="shared" si="7"/>
        <v/>
      </c>
      <c r="F72" s="55" t="str">
        <f t="shared" si="5"/>
        <v/>
      </c>
      <c r="G72" s="55" t="str">
        <f t="shared" si="6"/>
        <v/>
      </c>
    </row>
    <row r="73" spans="1:7" ht="15" x14ac:dyDescent="0.2">
      <c r="A73" s="79"/>
      <c r="B73" s="79"/>
      <c r="C73" s="79"/>
      <c r="D73" s="55" t="str">
        <f t="shared" si="4"/>
        <v/>
      </c>
      <c r="E73" s="56" t="str">
        <f t="shared" si="7"/>
        <v/>
      </c>
      <c r="F73" s="55" t="str">
        <f t="shared" si="5"/>
        <v/>
      </c>
      <c r="G73" s="55" t="str">
        <f t="shared" si="6"/>
        <v/>
      </c>
    </row>
    <row r="74" spans="1:7" ht="15" x14ac:dyDescent="0.2">
      <c r="A74" s="79"/>
      <c r="B74" s="79"/>
      <c r="C74" s="79"/>
      <c r="D74" s="55" t="str">
        <f t="shared" si="4"/>
        <v/>
      </c>
      <c r="E74" s="56" t="str">
        <f t="shared" si="7"/>
        <v/>
      </c>
      <c r="F74" s="55" t="str">
        <f t="shared" si="5"/>
        <v/>
      </c>
      <c r="G74" s="55" t="str">
        <f t="shared" si="6"/>
        <v/>
      </c>
    </row>
    <row r="75" spans="1:7" ht="15" x14ac:dyDescent="0.2">
      <c r="A75" s="79"/>
      <c r="B75" s="79"/>
      <c r="C75" s="79"/>
      <c r="D75" s="55" t="str">
        <f t="shared" si="4"/>
        <v/>
      </c>
      <c r="E75" s="56" t="str">
        <f t="shared" si="7"/>
        <v/>
      </c>
      <c r="F75" s="55" t="str">
        <f t="shared" si="5"/>
        <v/>
      </c>
      <c r="G75" s="55" t="str">
        <f t="shared" si="6"/>
        <v/>
      </c>
    </row>
    <row r="76" spans="1:7" ht="15" x14ac:dyDescent="0.2">
      <c r="A76" s="79"/>
      <c r="B76" s="79"/>
      <c r="C76" s="79"/>
      <c r="D76" s="55" t="str">
        <f t="shared" si="4"/>
        <v/>
      </c>
      <c r="E76" s="56" t="str">
        <f t="shared" si="7"/>
        <v/>
      </c>
      <c r="F76" s="55" t="str">
        <f t="shared" si="5"/>
        <v/>
      </c>
      <c r="G76" s="55" t="str">
        <f t="shared" si="6"/>
        <v/>
      </c>
    </row>
    <row r="77" spans="1:7" ht="15" x14ac:dyDescent="0.2">
      <c r="A77" s="79"/>
      <c r="B77" s="79"/>
      <c r="C77" s="79"/>
      <c r="D77" s="55" t="str">
        <f t="shared" si="4"/>
        <v/>
      </c>
      <c r="E77" s="56" t="str">
        <f t="shared" si="7"/>
        <v/>
      </c>
      <c r="F77" s="55" t="str">
        <f t="shared" si="5"/>
        <v/>
      </c>
      <c r="G77" s="55" t="str">
        <f t="shared" si="6"/>
        <v/>
      </c>
    </row>
    <row r="78" spans="1:7" ht="15" x14ac:dyDescent="0.2">
      <c r="A78" s="79"/>
      <c r="B78" s="79"/>
      <c r="C78" s="79"/>
      <c r="D78" s="55" t="str">
        <f t="shared" si="4"/>
        <v/>
      </c>
      <c r="E78" s="56" t="str">
        <f t="shared" si="7"/>
        <v/>
      </c>
      <c r="F78" s="55" t="str">
        <f t="shared" si="5"/>
        <v/>
      </c>
      <c r="G78" s="55" t="str">
        <f t="shared" si="6"/>
        <v/>
      </c>
    </row>
    <row r="79" spans="1:7" ht="15" x14ac:dyDescent="0.2">
      <c r="A79" s="79"/>
      <c r="B79" s="79"/>
      <c r="C79" s="79"/>
      <c r="D79" s="55" t="str">
        <f t="shared" si="4"/>
        <v/>
      </c>
      <c r="E79" s="56" t="str">
        <f t="shared" si="7"/>
        <v/>
      </c>
      <c r="F79" s="55" t="str">
        <f t="shared" si="5"/>
        <v/>
      </c>
      <c r="G79" s="55" t="str">
        <f t="shared" si="6"/>
        <v/>
      </c>
    </row>
    <row r="80" spans="1:7" ht="15" x14ac:dyDescent="0.2">
      <c r="A80" s="79"/>
      <c r="B80" s="79"/>
      <c r="C80" s="79"/>
      <c r="D80" s="55" t="str">
        <f t="shared" si="4"/>
        <v/>
      </c>
      <c r="E80" s="56" t="str">
        <f t="shared" si="7"/>
        <v/>
      </c>
      <c r="F80" s="55" t="str">
        <f t="shared" si="5"/>
        <v/>
      </c>
      <c r="G80" s="55" t="str">
        <f t="shared" si="6"/>
        <v/>
      </c>
    </row>
    <row r="81" spans="1:7" ht="15" x14ac:dyDescent="0.2">
      <c r="A81" s="79"/>
      <c r="B81" s="79"/>
      <c r="C81" s="79"/>
      <c r="D81" s="55" t="str">
        <f t="shared" si="4"/>
        <v/>
      </c>
      <c r="E81" s="56" t="str">
        <f t="shared" si="7"/>
        <v/>
      </c>
      <c r="F81" s="55" t="str">
        <f t="shared" si="5"/>
        <v/>
      </c>
      <c r="G81" s="55" t="str">
        <f t="shared" si="6"/>
        <v/>
      </c>
    </row>
    <row r="82" spans="1:7" ht="15" x14ac:dyDescent="0.2">
      <c r="A82" s="79"/>
      <c r="B82" s="79"/>
      <c r="C82" s="79"/>
      <c r="D82" s="55" t="str">
        <f t="shared" si="4"/>
        <v/>
      </c>
      <c r="E82" s="56" t="str">
        <f t="shared" si="7"/>
        <v/>
      </c>
      <c r="F82" s="55" t="str">
        <f t="shared" si="5"/>
        <v/>
      </c>
      <c r="G82" s="55" t="str">
        <f t="shared" si="6"/>
        <v/>
      </c>
    </row>
    <row r="83" spans="1:7" ht="15" x14ac:dyDescent="0.2">
      <c r="A83" s="79"/>
      <c r="B83" s="79"/>
      <c r="C83" s="79"/>
      <c r="D83" s="55" t="str">
        <f t="shared" si="4"/>
        <v/>
      </c>
      <c r="E83" s="56" t="str">
        <f t="shared" si="7"/>
        <v/>
      </c>
      <c r="F83" s="55" t="str">
        <f t="shared" si="5"/>
        <v/>
      </c>
      <c r="G83" s="55" t="str">
        <f t="shared" si="6"/>
        <v/>
      </c>
    </row>
    <row r="84" spans="1:7" ht="15" x14ac:dyDescent="0.2">
      <c r="A84" s="79"/>
      <c r="B84" s="79"/>
      <c r="C84" s="79"/>
      <c r="D84" s="55" t="str">
        <f t="shared" si="4"/>
        <v/>
      </c>
      <c r="E84" s="56" t="str">
        <f t="shared" si="7"/>
        <v/>
      </c>
      <c r="F84" s="55" t="str">
        <f t="shared" si="5"/>
        <v/>
      </c>
      <c r="G84" s="55" t="str">
        <f t="shared" si="6"/>
        <v/>
      </c>
    </row>
    <row r="85" spans="1:7" ht="15" x14ac:dyDescent="0.2">
      <c r="A85" s="79"/>
      <c r="B85" s="79"/>
      <c r="C85" s="79"/>
      <c r="D85" s="55" t="str">
        <f t="shared" si="4"/>
        <v/>
      </c>
      <c r="E85" s="56" t="str">
        <f t="shared" si="7"/>
        <v/>
      </c>
      <c r="F85" s="55" t="str">
        <f t="shared" si="5"/>
        <v/>
      </c>
      <c r="G85" s="55" t="str">
        <f t="shared" si="6"/>
        <v/>
      </c>
    </row>
    <row r="86" spans="1:7" ht="15" x14ac:dyDescent="0.2">
      <c r="A86" s="79"/>
      <c r="B86" s="79"/>
      <c r="C86" s="79"/>
      <c r="D86" s="55" t="str">
        <f t="shared" si="4"/>
        <v/>
      </c>
      <c r="E86" s="56" t="str">
        <f t="shared" si="7"/>
        <v/>
      </c>
      <c r="F86" s="55" t="str">
        <f t="shared" si="5"/>
        <v/>
      </c>
      <c r="G86" s="55" t="str">
        <f t="shared" si="6"/>
        <v/>
      </c>
    </row>
    <row r="87" spans="1:7" ht="15" x14ac:dyDescent="0.2">
      <c r="A87" s="79"/>
      <c r="B87" s="79"/>
      <c r="C87" s="79"/>
      <c r="D87" s="55" t="str">
        <f t="shared" si="4"/>
        <v/>
      </c>
      <c r="E87" s="56" t="str">
        <f t="shared" si="7"/>
        <v/>
      </c>
      <c r="F87" s="55" t="str">
        <f t="shared" si="5"/>
        <v/>
      </c>
      <c r="G87" s="55" t="str">
        <f t="shared" si="6"/>
        <v/>
      </c>
    </row>
    <row r="88" spans="1:7" ht="15" x14ac:dyDescent="0.2">
      <c r="A88" s="79"/>
      <c r="B88" s="79"/>
      <c r="C88" s="79"/>
      <c r="D88" s="55" t="str">
        <f t="shared" si="4"/>
        <v/>
      </c>
      <c r="E88" s="56" t="str">
        <f t="shared" si="7"/>
        <v/>
      </c>
      <c r="F88" s="55" t="str">
        <f t="shared" si="5"/>
        <v/>
      </c>
      <c r="G88" s="55" t="str">
        <f t="shared" si="6"/>
        <v/>
      </c>
    </row>
    <row r="89" spans="1:7" ht="15" x14ac:dyDescent="0.2">
      <c r="A89" s="79"/>
      <c r="B89" s="79"/>
      <c r="C89" s="79"/>
      <c r="D89" s="55" t="str">
        <f t="shared" si="4"/>
        <v/>
      </c>
      <c r="E89" s="56" t="str">
        <f t="shared" si="7"/>
        <v/>
      </c>
      <c r="F89" s="55" t="str">
        <f t="shared" si="5"/>
        <v/>
      </c>
      <c r="G89" s="55" t="str">
        <f t="shared" si="6"/>
        <v/>
      </c>
    </row>
    <row r="90" spans="1:7" ht="15" x14ac:dyDescent="0.2">
      <c r="A90" s="79"/>
      <c r="B90" s="79"/>
      <c r="C90" s="79"/>
      <c r="D90" s="55" t="str">
        <f t="shared" si="4"/>
        <v/>
      </c>
      <c r="E90" s="56" t="str">
        <f t="shared" si="7"/>
        <v/>
      </c>
      <c r="F90" s="55" t="str">
        <f t="shared" si="5"/>
        <v/>
      </c>
      <c r="G90" s="55" t="str">
        <f t="shared" si="6"/>
        <v/>
      </c>
    </row>
    <row r="91" spans="1:7" ht="15" x14ac:dyDescent="0.2">
      <c r="A91" s="79"/>
      <c r="B91" s="79"/>
      <c r="C91" s="79"/>
      <c r="D91" s="55" t="str">
        <f t="shared" si="4"/>
        <v/>
      </c>
      <c r="E91" s="56" t="str">
        <f t="shared" si="7"/>
        <v/>
      </c>
      <c r="F91" s="55" t="str">
        <f t="shared" si="5"/>
        <v/>
      </c>
      <c r="G91" s="55" t="str">
        <f t="shared" si="6"/>
        <v/>
      </c>
    </row>
    <row r="92" spans="1:7" ht="15" x14ac:dyDescent="0.2">
      <c r="A92" s="79"/>
      <c r="B92" s="79"/>
      <c r="C92" s="79"/>
      <c r="D92" s="55" t="str">
        <f t="shared" si="4"/>
        <v/>
      </c>
      <c r="E92" s="56" t="str">
        <f t="shared" si="7"/>
        <v/>
      </c>
      <c r="F92" s="55" t="str">
        <f t="shared" si="5"/>
        <v/>
      </c>
      <c r="G92" s="55" t="str">
        <f t="shared" si="6"/>
        <v/>
      </c>
    </row>
    <row r="93" spans="1:7" ht="15" x14ac:dyDescent="0.2">
      <c r="A93" s="79"/>
      <c r="B93" s="79"/>
      <c r="C93" s="79"/>
      <c r="D93" s="55" t="str">
        <f t="shared" si="4"/>
        <v/>
      </c>
      <c r="E93" s="56" t="str">
        <f t="shared" si="7"/>
        <v/>
      </c>
      <c r="F93" s="55" t="str">
        <f t="shared" si="5"/>
        <v/>
      </c>
      <c r="G93" s="55" t="str">
        <f t="shared" si="6"/>
        <v/>
      </c>
    </row>
    <row r="94" spans="1:7" ht="15" x14ac:dyDescent="0.2">
      <c r="A94" s="79"/>
      <c r="B94" s="79"/>
      <c r="C94" s="79"/>
      <c r="D94" s="55" t="str">
        <f t="shared" si="4"/>
        <v/>
      </c>
      <c r="E94" s="56" t="str">
        <f t="shared" si="7"/>
        <v/>
      </c>
      <c r="F94" s="55" t="str">
        <f t="shared" si="5"/>
        <v/>
      </c>
      <c r="G94" s="55" t="str">
        <f t="shared" si="6"/>
        <v/>
      </c>
    </row>
    <row r="95" spans="1:7" ht="15" x14ac:dyDescent="0.2">
      <c r="A95" s="79"/>
      <c r="B95" s="79"/>
      <c r="C95" s="79"/>
      <c r="D95" s="55" t="str">
        <f t="shared" si="4"/>
        <v/>
      </c>
      <c r="E95" s="56" t="str">
        <f t="shared" si="7"/>
        <v/>
      </c>
      <c r="F95" s="55" t="str">
        <f t="shared" si="5"/>
        <v/>
      </c>
      <c r="G95" s="55" t="str">
        <f t="shared" si="6"/>
        <v/>
      </c>
    </row>
    <row r="96" spans="1:7" ht="15" x14ac:dyDescent="0.2">
      <c r="A96" s="79"/>
      <c r="B96" s="79"/>
      <c r="C96" s="79"/>
      <c r="D96" s="55" t="str">
        <f t="shared" si="4"/>
        <v/>
      </c>
      <c r="E96" s="56" t="str">
        <f t="shared" si="7"/>
        <v/>
      </c>
      <c r="F96" s="55" t="str">
        <f t="shared" si="5"/>
        <v/>
      </c>
      <c r="G96" s="55" t="str">
        <f t="shared" si="6"/>
        <v/>
      </c>
    </row>
    <row r="97" spans="1:7" ht="15" x14ac:dyDescent="0.2">
      <c r="A97" s="79"/>
      <c r="B97" s="79"/>
      <c r="C97" s="79"/>
      <c r="D97" s="55" t="str">
        <f t="shared" si="4"/>
        <v/>
      </c>
      <c r="E97" s="56" t="str">
        <f t="shared" si="7"/>
        <v/>
      </c>
      <c r="F97" s="55" t="str">
        <f t="shared" si="5"/>
        <v/>
      </c>
      <c r="G97" s="55" t="str">
        <f t="shared" si="6"/>
        <v/>
      </c>
    </row>
    <row r="98" spans="1:7" ht="15" x14ac:dyDescent="0.2">
      <c r="A98" s="79"/>
      <c r="B98" s="79"/>
      <c r="C98" s="79"/>
      <c r="D98" s="55" t="str">
        <f t="shared" si="4"/>
        <v/>
      </c>
      <c r="E98" s="56" t="str">
        <f t="shared" si="7"/>
        <v/>
      </c>
      <c r="F98" s="55" t="str">
        <f t="shared" si="5"/>
        <v/>
      </c>
      <c r="G98" s="55" t="str">
        <f t="shared" si="6"/>
        <v/>
      </c>
    </row>
    <row r="99" spans="1:7" ht="15" x14ac:dyDescent="0.2">
      <c r="A99" s="79"/>
      <c r="B99" s="79"/>
      <c r="C99" s="79"/>
      <c r="D99" s="55" t="str">
        <f t="shared" si="4"/>
        <v/>
      </c>
      <c r="E99" s="56" t="str">
        <f t="shared" si="7"/>
        <v/>
      </c>
      <c r="F99" s="55" t="str">
        <f t="shared" si="5"/>
        <v/>
      </c>
      <c r="G99" s="55" t="str">
        <f t="shared" si="6"/>
        <v/>
      </c>
    </row>
    <row r="100" spans="1:7" ht="15" x14ac:dyDescent="0.2">
      <c r="A100" s="79"/>
      <c r="B100" s="79"/>
      <c r="C100" s="79"/>
      <c r="D100" s="55" t="str">
        <f t="shared" si="4"/>
        <v/>
      </c>
      <c r="E100" s="56" t="str">
        <f t="shared" si="7"/>
        <v/>
      </c>
      <c r="F100" s="55" t="str">
        <f t="shared" si="5"/>
        <v/>
      </c>
      <c r="G100" s="55" t="str">
        <f t="shared" si="6"/>
        <v/>
      </c>
    </row>
    <row r="101" spans="1:7" ht="15" x14ac:dyDescent="0.2">
      <c r="A101" s="79"/>
      <c r="B101" s="79"/>
      <c r="C101" s="79"/>
      <c r="D101" s="55" t="str">
        <f t="shared" si="4"/>
        <v/>
      </c>
      <c r="E101" s="56" t="str">
        <f t="shared" si="7"/>
        <v/>
      </c>
      <c r="F101" s="55" t="str">
        <f t="shared" si="5"/>
        <v/>
      </c>
      <c r="G101" s="55" t="str">
        <f t="shared" si="6"/>
        <v/>
      </c>
    </row>
    <row r="102" spans="1:7" ht="15" x14ac:dyDescent="0.2">
      <c r="A102" s="79"/>
      <c r="B102" s="79"/>
      <c r="C102" s="79"/>
      <c r="D102" s="55" t="str">
        <f t="shared" si="4"/>
        <v/>
      </c>
      <c r="E102" s="56" t="str">
        <f t="shared" si="7"/>
        <v/>
      </c>
      <c r="F102" s="55" t="str">
        <f t="shared" si="5"/>
        <v/>
      </c>
      <c r="G102" s="55" t="str">
        <f t="shared" si="6"/>
        <v/>
      </c>
    </row>
    <row r="103" spans="1:7" ht="15" x14ac:dyDescent="0.2">
      <c r="A103" s="79"/>
      <c r="B103" s="79"/>
      <c r="C103" s="79"/>
      <c r="D103" s="55" t="str">
        <f t="shared" si="4"/>
        <v/>
      </c>
      <c r="E103" s="56" t="str">
        <f t="shared" si="7"/>
        <v/>
      </c>
      <c r="F103" s="55" t="str">
        <f t="shared" si="5"/>
        <v/>
      </c>
      <c r="G103" s="55" t="str">
        <f t="shared" si="6"/>
        <v/>
      </c>
    </row>
    <row r="104" spans="1:7" ht="15" customHeight="1" x14ac:dyDescent="0.2">
      <c r="A104" s="79"/>
      <c r="B104" s="79"/>
      <c r="C104" s="79"/>
      <c r="D104" s="55" t="str">
        <f t="shared" si="4"/>
        <v/>
      </c>
      <c r="E104" s="56" t="str">
        <f t="shared" si="7"/>
        <v/>
      </c>
      <c r="F104" s="55" t="str">
        <f t="shared" si="5"/>
        <v/>
      </c>
      <c r="G104" s="55" t="str">
        <f t="shared" si="6"/>
        <v/>
      </c>
    </row>
    <row r="105" spans="1:7" ht="15" x14ac:dyDescent="0.2">
      <c r="A105" s="79"/>
      <c r="B105" s="79"/>
      <c r="C105" s="79"/>
      <c r="D105" s="55" t="str">
        <f t="shared" si="4"/>
        <v/>
      </c>
      <c r="E105" s="56" t="str">
        <f t="shared" si="7"/>
        <v/>
      </c>
      <c r="F105" s="55" t="str">
        <f t="shared" si="5"/>
        <v/>
      </c>
      <c r="G105" s="55" t="str">
        <f t="shared" si="6"/>
        <v/>
      </c>
    </row>
    <row r="106" spans="1:7" ht="15" x14ac:dyDescent="0.2">
      <c r="A106" s="79"/>
      <c r="B106" s="79"/>
      <c r="C106" s="79"/>
      <c r="D106" s="55" t="str">
        <f t="shared" si="4"/>
        <v/>
      </c>
      <c r="E106" s="56" t="str">
        <f t="shared" si="7"/>
        <v/>
      </c>
      <c r="F106" s="55" t="str">
        <f t="shared" si="5"/>
        <v/>
      </c>
      <c r="G106" s="55" t="str">
        <f t="shared" si="6"/>
        <v/>
      </c>
    </row>
    <row r="107" spans="1:7" ht="15" x14ac:dyDescent="0.2">
      <c r="A107" s="79"/>
      <c r="B107" s="79"/>
      <c r="C107" s="79"/>
      <c r="D107" s="55" t="str">
        <f t="shared" si="4"/>
        <v/>
      </c>
      <c r="E107" s="56" t="str">
        <f t="shared" si="7"/>
        <v/>
      </c>
      <c r="F107" s="55" t="str">
        <f t="shared" si="5"/>
        <v/>
      </c>
      <c r="G107" s="55" t="str">
        <f t="shared" si="6"/>
        <v/>
      </c>
    </row>
    <row r="108" spans="1:7" ht="15" x14ac:dyDescent="0.2">
      <c r="A108" s="79"/>
      <c r="B108" s="79"/>
      <c r="C108" s="79"/>
      <c r="D108" s="55" t="str">
        <f t="shared" si="4"/>
        <v/>
      </c>
      <c r="E108" s="56" t="str">
        <f t="shared" si="7"/>
        <v/>
      </c>
      <c r="F108" s="55" t="str">
        <f t="shared" si="5"/>
        <v/>
      </c>
      <c r="G108" s="55" t="str">
        <f t="shared" si="6"/>
        <v/>
      </c>
    </row>
    <row r="109" spans="1:7" ht="15" customHeight="1" x14ac:dyDescent="0.2">
      <c r="A109" s="79"/>
      <c r="B109" s="79"/>
      <c r="C109" s="79"/>
      <c r="D109" s="55" t="str">
        <f t="shared" si="4"/>
        <v/>
      </c>
      <c r="E109" s="56" t="str">
        <f t="shared" si="7"/>
        <v/>
      </c>
      <c r="F109" s="55" t="str">
        <f t="shared" si="5"/>
        <v/>
      </c>
      <c r="G109" s="55" t="str">
        <f t="shared" si="6"/>
        <v/>
      </c>
    </row>
    <row r="110" spans="1:7" ht="15" x14ac:dyDescent="0.2">
      <c r="A110" s="79"/>
      <c r="B110" s="79"/>
      <c r="C110" s="79"/>
      <c r="D110" s="55" t="str">
        <f t="shared" si="4"/>
        <v/>
      </c>
      <c r="E110" s="56" t="str">
        <f t="shared" si="7"/>
        <v/>
      </c>
      <c r="F110" s="55" t="str">
        <f t="shared" si="5"/>
        <v/>
      </c>
      <c r="G110" s="55" t="str">
        <f t="shared" si="6"/>
        <v/>
      </c>
    </row>
    <row r="111" spans="1:7" ht="15" x14ac:dyDescent="0.2">
      <c r="A111" s="79"/>
      <c r="B111" s="79"/>
      <c r="C111" s="79"/>
      <c r="D111" s="55" t="str">
        <f t="shared" si="4"/>
        <v/>
      </c>
      <c r="E111" s="56" t="str">
        <f t="shared" si="7"/>
        <v/>
      </c>
      <c r="F111" s="55" t="str">
        <f t="shared" si="5"/>
        <v/>
      </c>
      <c r="G111" s="55" t="str">
        <f t="shared" si="6"/>
        <v/>
      </c>
    </row>
    <row r="112" spans="1:7" ht="15" x14ac:dyDescent="0.2">
      <c r="A112" s="79"/>
      <c r="B112" s="79"/>
      <c r="C112" s="79"/>
      <c r="D112" s="55" t="str">
        <f t="shared" si="4"/>
        <v/>
      </c>
      <c r="E112" s="56" t="str">
        <f t="shared" si="7"/>
        <v/>
      </c>
      <c r="F112" s="55" t="str">
        <f t="shared" si="5"/>
        <v/>
      </c>
      <c r="G112" s="55" t="str">
        <f t="shared" si="6"/>
        <v/>
      </c>
    </row>
    <row r="113" spans="1:7" ht="15" x14ac:dyDescent="0.2">
      <c r="A113" s="79"/>
      <c r="B113" s="79"/>
      <c r="C113" s="79"/>
      <c r="D113" s="55" t="str">
        <f t="shared" si="4"/>
        <v/>
      </c>
      <c r="E113" s="56" t="str">
        <f t="shared" si="7"/>
        <v/>
      </c>
      <c r="F113" s="55" t="str">
        <f t="shared" si="5"/>
        <v/>
      </c>
      <c r="G113" s="55" t="str">
        <f t="shared" si="6"/>
        <v/>
      </c>
    </row>
    <row r="114" spans="1:7" ht="15" x14ac:dyDescent="0.2">
      <c r="A114" s="79"/>
      <c r="B114" s="79"/>
      <c r="C114" s="79"/>
      <c r="D114" s="55" t="str">
        <f t="shared" si="4"/>
        <v/>
      </c>
      <c r="E114" s="56" t="str">
        <f t="shared" si="7"/>
        <v/>
      </c>
      <c r="F114" s="55" t="str">
        <f t="shared" si="5"/>
        <v/>
      </c>
      <c r="G114" s="55" t="str">
        <f t="shared" si="6"/>
        <v/>
      </c>
    </row>
    <row r="115" spans="1:7" ht="15" x14ac:dyDescent="0.2">
      <c r="A115" s="79"/>
      <c r="B115" s="79"/>
      <c r="C115" s="79"/>
      <c r="D115" s="55" t="str">
        <f t="shared" si="4"/>
        <v/>
      </c>
      <c r="E115" s="56" t="str">
        <f t="shared" si="7"/>
        <v/>
      </c>
      <c r="F115" s="55" t="str">
        <f t="shared" si="5"/>
        <v/>
      </c>
      <c r="G115" s="55" t="str">
        <f t="shared" si="6"/>
        <v/>
      </c>
    </row>
    <row r="116" spans="1:7" ht="15" x14ac:dyDescent="0.2">
      <c r="A116" s="79"/>
      <c r="B116" s="79"/>
      <c r="C116" s="79"/>
      <c r="D116" s="55" t="str">
        <f t="shared" si="4"/>
        <v/>
      </c>
      <c r="E116" s="56" t="str">
        <f t="shared" si="7"/>
        <v/>
      </c>
      <c r="F116" s="55" t="str">
        <f t="shared" si="5"/>
        <v/>
      </c>
      <c r="G116" s="55" t="str">
        <f t="shared" si="6"/>
        <v/>
      </c>
    </row>
    <row r="117" spans="1:7" ht="15" x14ac:dyDescent="0.2">
      <c r="A117" s="79"/>
      <c r="B117" s="79"/>
      <c r="C117" s="79"/>
      <c r="D117" s="55" t="str">
        <f t="shared" si="4"/>
        <v/>
      </c>
      <c r="E117" s="56" t="str">
        <f t="shared" si="7"/>
        <v/>
      </c>
      <c r="F117" s="55" t="str">
        <f t="shared" si="5"/>
        <v/>
      </c>
      <c r="G117" s="55" t="str">
        <f t="shared" si="6"/>
        <v/>
      </c>
    </row>
    <row r="118" spans="1:7" ht="15" x14ac:dyDescent="0.2">
      <c r="A118" s="79"/>
      <c r="B118" s="79"/>
      <c r="C118" s="79"/>
      <c r="D118" s="55" t="str">
        <f t="shared" si="4"/>
        <v/>
      </c>
      <c r="E118" s="56" t="str">
        <f t="shared" si="7"/>
        <v/>
      </c>
      <c r="F118" s="55" t="str">
        <f t="shared" si="5"/>
        <v/>
      </c>
      <c r="G118" s="55" t="str">
        <f t="shared" si="6"/>
        <v/>
      </c>
    </row>
    <row r="119" spans="1:7" ht="15" x14ac:dyDescent="0.2">
      <c r="A119" s="79"/>
      <c r="B119" s="79"/>
      <c r="C119" s="79"/>
      <c r="D119" s="55" t="str">
        <f t="shared" si="4"/>
        <v/>
      </c>
      <c r="E119" s="56" t="str">
        <f t="shared" si="7"/>
        <v/>
      </c>
      <c r="F119" s="55" t="str">
        <f t="shared" si="5"/>
        <v/>
      </c>
      <c r="G119" s="55" t="str">
        <f t="shared" si="6"/>
        <v/>
      </c>
    </row>
    <row r="120" spans="1:7" ht="15" x14ac:dyDescent="0.2">
      <c r="A120" s="79"/>
      <c r="B120" s="79"/>
      <c r="C120" s="79"/>
      <c r="D120" s="55" t="str">
        <f t="shared" si="4"/>
        <v/>
      </c>
      <c r="E120" s="56" t="str">
        <f t="shared" si="7"/>
        <v/>
      </c>
      <c r="F120" s="55" t="str">
        <f t="shared" si="5"/>
        <v/>
      </c>
      <c r="G120" s="55" t="str">
        <f t="shared" si="6"/>
        <v/>
      </c>
    </row>
    <row r="121" spans="1:7" ht="15" x14ac:dyDescent="0.2">
      <c r="A121" s="79"/>
      <c r="B121" s="79"/>
      <c r="C121" s="79"/>
      <c r="D121" s="55" t="str">
        <f t="shared" si="4"/>
        <v/>
      </c>
      <c r="E121" s="56" t="str">
        <f t="shared" si="7"/>
        <v/>
      </c>
      <c r="F121" s="55" t="str">
        <f t="shared" si="5"/>
        <v/>
      </c>
      <c r="G121" s="55" t="str">
        <f t="shared" si="6"/>
        <v/>
      </c>
    </row>
    <row r="122" spans="1:7" ht="15" x14ac:dyDescent="0.2">
      <c r="A122" s="79"/>
      <c r="B122" s="79"/>
      <c r="C122" s="79"/>
      <c r="D122" s="55" t="str">
        <f t="shared" si="4"/>
        <v/>
      </c>
      <c r="E122" s="56" t="str">
        <f t="shared" si="7"/>
        <v/>
      </c>
      <c r="F122" s="55" t="str">
        <f t="shared" si="5"/>
        <v/>
      </c>
      <c r="G122" s="55" t="str">
        <f t="shared" si="6"/>
        <v/>
      </c>
    </row>
    <row r="123" spans="1:7" ht="15" x14ac:dyDescent="0.2">
      <c r="A123" s="79"/>
      <c r="B123" s="79"/>
      <c r="C123" s="79"/>
      <c r="D123" s="55" t="str">
        <f t="shared" si="4"/>
        <v/>
      </c>
      <c r="E123" s="56" t="str">
        <f t="shared" si="7"/>
        <v/>
      </c>
      <c r="F123" s="55" t="str">
        <f t="shared" si="5"/>
        <v/>
      </c>
      <c r="G123" s="55" t="str">
        <f t="shared" si="6"/>
        <v/>
      </c>
    </row>
    <row r="124" spans="1:7" ht="15" customHeight="1" x14ac:dyDescent="0.2">
      <c r="A124" s="79"/>
      <c r="B124" s="79"/>
      <c r="C124" s="79"/>
      <c r="D124" s="55" t="str">
        <f t="shared" si="4"/>
        <v/>
      </c>
      <c r="E124" s="56" t="str">
        <f t="shared" si="7"/>
        <v/>
      </c>
      <c r="F124" s="55" t="str">
        <f t="shared" si="5"/>
        <v/>
      </c>
      <c r="G124" s="55" t="str">
        <f t="shared" si="6"/>
        <v/>
      </c>
    </row>
    <row r="125" spans="1:7" ht="15" x14ac:dyDescent="0.2">
      <c r="A125" s="79"/>
      <c r="B125" s="79"/>
      <c r="C125" s="79"/>
      <c r="D125" s="55" t="str">
        <f t="shared" si="4"/>
        <v/>
      </c>
      <c r="E125" s="56" t="str">
        <f t="shared" si="7"/>
        <v/>
      </c>
      <c r="F125" s="55" t="str">
        <f t="shared" si="5"/>
        <v/>
      </c>
      <c r="G125" s="55" t="str">
        <f t="shared" si="6"/>
        <v/>
      </c>
    </row>
    <row r="126" spans="1:7" ht="15" x14ac:dyDescent="0.2">
      <c r="A126" s="79"/>
      <c r="B126" s="79"/>
      <c r="C126" s="79"/>
      <c r="D126" s="55" t="str">
        <f t="shared" si="4"/>
        <v/>
      </c>
      <c r="E126" s="56" t="str">
        <f t="shared" si="7"/>
        <v/>
      </c>
      <c r="F126" s="55" t="str">
        <f t="shared" si="5"/>
        <v/>
      </c>
      <c r="G126" s="55" t="str">
        <f t="shared" si="6"/>
        <v/>
      </c>
    </row>
    <row r="127" spans="1:7" ht="15" x14ac:dyDescent="0.2">
      <c r="A127" s="79"/>
      <c r="B127" s="79"/>
      <c r="C127" s="79"/>
      <c r="D127" s="55" t="str">
        <f t="shared" si="4"/>
        <v/>
      </c>
      <c r="E127" s="56" t="str">
        <f t="shared" si="7"/>
        <v/>
      </c>
      <c r="F127" s="55" t="str">
        <f t="shared" si="5"/>
        <v/>
      </c>
      <c r="G127" s="55" t="str">
        <f t="shared" si="6"/>
        <v/>
      </c>
    </row>
    <row r="128" spans="1:7" ht="15" x14ac:dyDescent="0.2">
      <c r="A128" s="79"/>
      <c r="B128" s="79"/>
      <c r="C128" s="79"/>
      <c r="D128" s="55" t="str">
        <f t="shared" si="4"/>
        <v/>
      </c>
      <c r="E128" s="56" t="str">
        <f t="shared" si="7"/>
        <v/>
      </c>
      <c r="F128" s="55" t="str">
        <f t="shared" si="5"/>
        <v/>
      </c>
      <c r="G128" s="55" t="str">
        <f t="shared" si="6"/>
        <v/>
      </c>
    </row>
    <row r="129" spans="1:7" ht="15" x14ac:dyDescent="0.2">
      <c r="A129" s="79"/>
      <c r="B129" s="79"/>
      <c r="C129" s="79"/>
      <c r="D129" s="55" t="str">
        <f t="shared" si="4"/>
        <v/>
      </c>
      <c r="E129" s="56" t="str">
        <f t="shared" si="7"/>
        <v/>
      </c>
      <c r="F129" s="55" t="str">
        <f t="shared" si="5"/>
        <v/>
      </c>
      <c r="G129" s="55" t="str">
        <f t="shared" si="6"/>
        <v/>
      </c>
    </row>
    <row r="130" spans="1:7" ht="15" x14ac:dyDescent="0.2">
      <c r="A130" s="79"/>
      <c r="B130" s="79"/>
      <c r="C130" s="79"/>
      <c r="D130" s="55" t="str">
        <f t="shared" si="4"/>
        <v/>
      </c>
      <c r="E130" s="56" t="str">
        <f t="shared" si="7"/>
        <v/>
      </c>
      <c r="F130" s="55" t="str">
        <f t="shared" si="5"/>
        <v/>
      </c>
      <c r="G130" s="55" t="str">
        <f t="shared" si="6"/>
        <v/>
      </c>
    </row>
    <row r="131" spans="1:7" ht="15" x14ac:dyDescent="0.2">
      <c r="A131" s="79"/>
      <c r="B131" s="79"/>
      <c r="C131" s="79"/>
      <c r="D131" s="55" t="str">
        <f t="shared" ref="D131:D194" si="8">IFERROR(IF(B131="","",C131-B131),"")</f>
        <v/>
      </c>
      <c r="E131" s="56" t="str">
        <f t="shared" si="7"/>
        <v/>
      </c>
      <c r="F131" s="55" t="str">
        <f t="shared" ref="F131:F194" si="9">IF(Kielivalinta="","",IF(B131="",IF(Kielivalinta="Suomi","Tieto puuttuu :"&amp;B$3,IF(Kielivalinta="Svenska","Information saknas :"&amp;B$3)),""))</f>
        <v/>
      </c>
      <c r="G131" s="55" t="str">
        <f t="shared" ref="G131:G194" si="10">IF(Kielivalinta="","",IF(C131="",IF(Kielivalinta="Suomi","Tieto puuttuu :"&amp;C$3,IF(Kielivalinta="Svenska","Information saknas :"&amp;C$3)),""))</f>
        <v/>
      </c>
    </row>
    <row r="132" spans="1:7" ht="15" customHeight="1" x14ac:dyDescent="0.2">
      <c r="A132" s="79"/>
      <c r="B132" s="79"/>
      <c r="C132" s="79"/>
      <c r="D132" s="55" t="str">
        <f t="shared" si="8"/>
        <v/>
      </c>
      <c r="E132" s="56" t="str">
        <f t="shared" ref="E132:E195" si="11">IFERROR(IF(B132="","",IF(B132=0,"",IF(B132="","",(C132/B132)-1))),"")</f>
        <v/>
      </c>
      <c r="F132" s="55" t="str">
        <f t="shared" si="9"/>
        <v/>
      </c>
      <c r="G132" s="55" t="str">
        <f t="shared" si="10"/>
        <v/>
      </c>
    </row>
    <row r="133" spans="1:7" ht="15" customHeight="1" x14ac:dyDescent="0.2">
      <c r="A133" s="79"/>
      <c r="B133" s="79"/>
      <c r="C133" s="79"/>
      <c r="D133" s="55" t="str">
        <f t="shared" si="8"/>
        <v/>
      </c>
      <c r="E133" s="56" t="str">
        <f t="shared" si="11"/>
        <v/>
      </c>
      <c r="F133" s="55" t="str">
        <f t="shared" si="9"/>
        <v/>
      </c>
      <c r="G133" s="55" t="str">
        <f t="shared" si="10"/>
        <v/>
      </c>
    </row>
    <row r="134" spans="1:7" ht="15" x14ac:dyDescent="0.2">
      <c r="A134" s="79"/>
      <c r="B134" s="79"/>
      <c r="C134" s="79"/>
      <c r="D134" s="55" t="str">
        <f t="shared" si="8"/>
        <v/>
      </c>
      <c r="E134" s="56" t="str">
        <f t="shared" si="11"/>
        <v/>
      </c>
      <c r="F134" s="55" t="str">
        <f t="shared" si="9"/>
        <v/>
      </c>
      <c r="G134" s="55" t="str">
        <f t="shared" si="10"/>
        <v/>
      </c>
    </row>
    <row r="135" spans="1:7" ht="15" x14ac:dyDescent="0.2">
      <c r="A135" s="79"/>
      <c r="B135" s="79"/>
      <c r="C135" s="79"/>
      <c r="D135" s="55" t="str">
        <f t="shared" si="8"/>
        <v/>
      </c>
      <c r="E135" s="56" t="str">
        <f t="shared" si="11"/>
        <v/>
      </c>
      <c r="F135" s="55" t="str">
        <f t="shared" si="9"/>
        <v/>
      </c>
      <c r="G135" s="55" t="str">
        <f t="shared" si="10"/>
        <v/>
      </c>
    </row>
    <row r="136" spans="1:7" ht="15" x14ac:dyDescent="0.2">
      <c r="A136" s="79"/>
      <c r="B136" s="79"/>
      <c r="C136" s="79"/>
      <c r="D136" s="55" t="str">
        <f t="shared" si="8"/>
        <v/>
      </c>
      <c r="E136" s="56" t="str">
        <f t="shared" si="11"/>
        <v/>
      </c>
      <c r="F136" s="55" t="str">
        <f t="shared" si="9"/>
        <v/>
      </c>
      <c r="G136" s="55" t="str">
        <f t="shared" si="10"/>
        <v/>
      </c>
    </row>
    <row r="137" spans="1:7" ht="15" x14ac:dyDescent="0.2">
      <c r="A137" s="79"/>
      <c r="B137" s="79"/>
      <c r="C137" s="79"/>
      <c r="D137" s="55" t="str">
        <f t="shared" si="8"/>
        <v/>
      </c>
      <c r="E137" s="56" t="str">
        <f t="shared" si="11"/>
        <v/>
      </c>
      <c r="F137" s="55" t="str">
        <f t="shared" si="9"/>
        <v/>
      </c>
      <c r="G137" s="55" t="str">
        <f t="shared" si="10"/>
        <v/>
      </c>
    </row>
    <row r="138" spans="1:7" ht="15" x14ac:dyDescent="0.2">
      <c r="A138" s="79"/>
      <c r="B138" s="79"/>
      <c r="C138" s="79"/>
      <c r="D138" s="55" t="str">
        <f t="shared" si="8"/>
        <v/>
      </c>
      <c r="E138" s="56" t="str">
        <f t="shared" si="11"/>
        <v/>
      </c>
      <c r="F138" s="55" t="str">
        <f t="shared" si="9"/>
        <v/>
      </c>
      <c r="G138" s="55" t="str">
        <f t="shared" si="10"/>
        <v/>
      </c>
    </row>
    <row r="139" spans="1:7" ht="15" customHeight="1" x14ac:dyDescent="0.2">
      <c r="A139" s="79"/>
      <c r="B139" s="79"/>
      <c r="C139" s="79"/>
      <c r="D139" s="55" t="str">
        <f t="shared" si="8"/>
        <v/>
      </c>
      <c r="E139" s="56" t="str">
        <f t="shared" si="11"/>
        <v/>
      </c>
      <c r="F139" s="55" t="str">
        <f t="shared" si="9"/>
        <v/>
      </c>
      <c r="G139" s="55" t="str">
        <f t="shared" si="10"/>
        <v/>
      </c>
    </row>
    <row r="140" spans="1:7" ht="15" x14ac:dyDescent="0.2">
      <c r="A140" s="79"/>
      <c r="B140" s="79"/>
      <c r="C140" s="79"/>
      <c r="D140" s="55" t="str">
        <f t="shared" si="8"/>
        <v/>
      </c>
      <c r="E140" s="56" t="str">
        <f t="shared" si="11"/>
        <v/>
      </c>
      <c r="F140" s="55" t="str">
        <f t="shared" si="9"/>
        <v/>
      </c>
      <c r="G140" s="55" t="str">
        <f t="shared" si="10"/>
        <v/>
      </c>
    </row>
    <row r="141" spans="1:7" ht="15" x14ac:dyDescent="0.2">
      <c r="A141" s="79"/>
      <c r="B141" s="79"/>
      <c r="C141" s="79"/>
      <c r="D141" s="55" t="str">
        <f t="shared" si="8"/>
        <v/>
      </c>
      <c r="E141" s="56" t="str">
        <f t="shared" si="11"/>
        <v/>
      </c>
      <c r="F141" s="55" t="str">
        <f t="shared" si="9"/>
        <v/>
      </c>
      <c r="G141" s="55" t="str">
        <f t="shared" si="10"/>
        <v/>
      </c>
    </row>
    <row r="142" spans="1:7" ht="15" x14ac:dyDescent="0.2">
      <c r="A142" s="79"/>
      <c r="B142" s="79"/>
      <c r="C142" s="79"/>
      <c r="D142" s="55" t="str">
        <f t="shared" si="8"/>
        <v/>
      </c>
      <c r="E142" s="56" t="str">
        <f t="shared" si="11"/>
        <v/>
      </c>
      <c r="F142" s="55" t="str">
        <f t="shared" si="9"/>
        <v/>
      </c>
      <c r="G142" s="55" t="str">
        <f t="shared" si="10"/>
        <v/>
      </c>
    </row>
    <row r="143" spans="1:7" ht="15" x14ac:dyDescent="0.2">
      <c r="A143" s="79"/>
      <c r="B143" s="79"/>
      <c r="C143" s="79"/>
      <c r="D143" s="55" t="str">
        <f t="shared" si="8"/>
        <v/>
      </c>
      <c r="E143" s="56" t="str">
        <f t="shared" si="11"/>
        <v/>
      </c>
      <c r="F143" s="55" t="str">
        <f t="shared" si="9"/>
        <v/>
      </c>
      <c r="G143" s="55" t="str">
        <f t="shared" si="10"/>
        <v/>
      </c>
    </row>
    <row r="144" spans="1:7" ht="15" customHeight="1" x14ac:dyDescent="0.2">
      <c r="A144" s="79"/>
      <c r="B144" s="79"/>
      <c r="C144" s="79"/>
      <c r="D144" s="55" t="str">
        <f t="shared" si="8"/>
        <v/>
      </c>
      <c r="E144" s="56" t="str">
        <f t="shared" si="11"/>
        <v/>
      </c>
      <c r="F144" s="55" t="str">
        <f t="shared" si="9"/>
        <v/>
      </c>
      <c r="G144" s="55" t="str">
        <f t="shared" si="10"/>
        <v/>
      </c>
    </row>
    <row r="145" spans="1:7" ht="15" x14ac:dyDescent="0.2">
      <c r="A145" s="79"/>
      <c r="B145" s="79"/>
      <c r="C145" s="79"/>
      <c r="D145" s="55" t="str">
        <f t="shared" si="8"/>
        <v/>
      </c>
      <c r="E145" s="56" t="str">
        <f t="shared" si="11"/>
        <v/>
      </c>
      <c r="F145" s="55" t="str">
        <f t="shared" si="9"/>
        <v/>
      </c>
      <c r="G145" s="55" t="str">
        <f t="shared" si="10"/>
        <v/>
      </c>
    </row>
    <row r="146" spans="1:7" ht="15" customHeight="1" x14ac:dyDescent="0.2">
      <c r="A146" s="79"/>
      <c r="B146" s="79"/>
      <c r="C146" s="79"/>
      <c r="D146" s="55" t="str">
        <f t="shared" si="8"/>
        <v/>
      </c>
      <c r="E146" s="56" t="str">
        <f t="shared" si="11"/>
        <v/>
      </c>
      <c r="F146" s="55" t="str">
        <f t="shared" si="9"/>
        <v/>
      </c>
      <c r="G146" s="55" t="str">
        <f t="shared" si="10"/>
        <v/>
      </c>
    </row>
    <row r="147" spans="1:7" ht="15" x14ac:dyDescent="0.2">
      <c r="A147" s="79"/>
      <c r="B147" s="79"/>
      <c r="C147" s="79"/>
      <c r="D147" s="55" t="str">
        <f t="shared" si="8"/>
        <v/>
      </c>
      <c r="E147" s="56" t="str">
        <f t="shared" si="11"/>
        <v/>
      </c>
      <c r="F147" s="55" t="str">
        <f t="shared" si="9"/>
        <v/>
      </c>
      <c r="G147" s="55" t="str">
        <f t="shared" si="10"/>
        <v/>
      </c>
    </row>
    <row r="148" spans="1:7" ht="15" customHeight="1" x14ac:dyDescent="0.2">
      <c r="A148" s="79"/>
      <c r="B148" s="79"/>
      <c r="C148" s="79"/>
      <c r="D148" s="55" t="str">
        <f t="shared" si="8"/>
        <v/>
      </c>
      <c r="E148" s="56" t="str">
        <f t="shared" si="11"/>
        <v/>
      </c>
      <c r="F148" s="55" t="str">
        <f t="shared" si="9"/>
        <v/>
      </c>
      <c r="G148" s="55" t="str">
        <f t="shared" si="10"/>
        <v/>
      </c>
    </row>
    <row r="149" spans="1:7" ht="15" x14ac:dyDescent="0.2">
      <c r="A149" s="79"/>
      <c r="B149" s="79"/>
      <c r="C149" s="79"/>
      <c r="D149" s="55" t="str">
        <f t="shared" si="8"/>
        <v/>
      </c>
      <c r="E149" s="56" t="str">
        <f t="shared" si="11"/>
        <v/>
      </c>
      <c r="F149" s="55" t="str">
        <f t="shared" si="9"/>
        <v/>
      </c>
      <c r="G149" s="55" t="str">
        <f t="shared" si="10"/>
        <v/>
      </c>
    </row>
    <row r="150" spans="1:7" ht="15" x14ac:dyDescent="0.2">
      <c r="A150" s="79"/>
      <c r="B150" s="79"/>
      <c r="C150" s="79"/>
      <c r="D150" s="55" t="str">
        <f t="shared" si="8"/>
        <v/>
      </c>
      <c r="E150" s="56" t="str">
        <f t="shared" si="11"/>
        <v/>
      </c>
      <c r="F150" s="55" t="str">
        <f t="shared" si="9"/>
        <v/>
      </c>
      <c r="G150" s="55" t="str">
        <f t="shared" si="10"/>
        <v/>
      </c>
    </row>
    <row r="151" spans="1:7" ht="15" customHeight="1" x14ac:dyDescent="0.2">
      <c r="A151" s="79"/>
      <c r="B151" s="79"/>
      <c r="C151" s="79"/>
      <c r="D151" s="55" t="str">
        <f t="shared" si="8"/>
        <v/>
      </c>
      <c r="E151" s="56" t="str">
        <f t="shared" si="11"/>
        <v/>
      </c>
      <c r="F151" s="55" t="str">
        <f t="shared" si="9"/>
        <v/>
      </c>
      <c r="G151" s="55" t="str">
        <f t="shared" si="10"/>
        <v/>
      </c>
    </row>
    <row r="152" spans="1:7" ht="15" customHeight="1" x14ac:dyDescent="0.2">
      <c r="A152" s="79"/>
      <c r="B152" s="79"/>
      <c r="C152" s="79"/>
      <c r="D152" s="55" t="str">
        <f t="shared" si="8"/>
        <v/>
      </c>
      <c r="E152" s="56" t="str">
        <f t="shared" si="11"/>
        <v/>
      </c>
      <c r="F152" s="55" t="str">
        <f t="shared" si="9"/>
        <v/>
      </c>
      <c r="G152" s="55" t="str">
        <f t="shared" si="10"/>
        <v/>
      </c>
    </row>
    <row r="153" spans="1:7" ht="15" x14ac:dyDescent="0.2">
      <c r="A153" s="79"/>
      <c r="B153" s="79"/>
      <c r="C153" s="79"/>
      <c r="D153" s="55" t="str">
        <f t="shared" si="8"/>
        <v/>
      </c>
      <c r="E153" s="56" t="str">
        <f t="shared" si="11"/>
        <v/>
      </c>
      <c r="F153" s="55" t="str">
        <f t="shared" si="9"/>
        <v/>
      </c>
      <c r="G153" s="55" t="str">
        <f t="shared" si="10"/>
        <v/>
      </c>
    </row>
    <row r="154" spans="1:7" ht="15" customHeight="1" x14ac:dyDescent="0.2">
      <c r="A154" s="79"/>
      <c r="B154" s="79"/>
      <c r="C154" s="79"/>
      <c r="D154" s="55" t="str">
        <f t="shared" si="8"/>
        <v/>
      </c>
      <c r="E154" s="56" t="str">
        <f t="shared" si="11"/>
        <v/>
      </c>
      <c r="F154" s="55" t="str">
        <f t="shared" si="9"/>
        <v/>
      </c>
      <c r="G154" s="55" t="str">
        <f t="shared" si="10"/>
        <v/>
      </c>
    </row>
    <row r="155" spans="1:7" ht="15" x14ac:dyDescent="0.2">
      <c r="A155" s="79"/>
      <c r="B155" s="79"/>
      <c r="C155" s="79"/>
      <c r="D155" s="55" t="str">
        <f t="shared" si="8"/>
        <v/>
      </c>
      <c r="E155" s="56" t="str">
        <f t="shared" si="11"/>
        <v/>
      </c>
      <c r="F155" s="55" t="str">
        <f t="shared" si="9"/>
        <v/>
      </c>
      <c r="G155" s="55" t="str">
        <f t="shared" si="10"/>
        <v/>
      </c>
    </row>
    <row r="156" spans="1:7" ht="15" x14ac:dyDescent="0.2">
      <c r="A156" s="79"/>
      <c r="B156" s="79"/>
      <c r="C156" s="79"/>
      <c r="D156" s="55" t="str">
        <f t="shared" si="8"/>
        <v/>
      </c>
      <c r="E156" s="56" t="str">
        <f t="shared" si="11"/>
        <v/>
      </c>
      <c r="F156" s="55" t="str">
        <f t="shared" si="9"/>
        <v/>
      </c>
      <c r="G156" s="55" t="str">
        <f t="shared" si="10"/>
        <v/>
      </c>
    </row>
    <row r="157" spans="1:7" ht="15" x14ac:dyDescent="0.2">
      <c r="A157" s="79"/>
      <c r="B157" s="79"/>
      <c r="C157" s="79"/>
      <c r="D157" s="55" t="str">
        <f t="shared" si="8"/>
        <v/>
      </c>
      <c r="E157" s="56" t="str">
        <f t="shared" si="11"/>
        <v/>
      </c>
      <c r="F157" s="55" t="str">
        <f t="shared" si="9"/>
        <v/>
      </c>
      <c r="G157" s="55" t="str">
        <f t="shared" si="10"/>
        <v/>
      </c>
    </row>
    <row r="158" spans="1:7" ht="15" x14ac:dyDescent="0.2">
      <c r="A158" s="79"/>
      <c r="B158" s="79"/>
      <c r="C158" s="79"/>
      <c r="D158" s="55" t="str">
        <f t="shared" si="8"/>
        <v/>
      </c>
      <c r="E158" s="56" t="str">
        <f t="shared" si="11"/>
        <v/>
      </c>
      <c r="F158" s="55" t="str">
        <f t="shared" si="9"/>
        <v/>
      </c>
      <c r="G158" s="55" t="str">
        <f t="shared" si="10"/>
        <v/>
      </c>
    </row>
    <row r="159" spans="1:7" ht="15" x14ac:dyDescent="0.2">
      <c r="A159" s="79"/>
      <c r="B159" s="79"/>
      <c r="C159" s="79"/>
      <c r="D159" s="55" t="str">
        <f t="shared" si="8"/>
        <v/>
      </c>
      <c r="E159" s="56" t="str">
        <f t="shared" si="11"/>
        <v/>
      </c>
      <c r="F159" s="55" t="str">
        <f t="shared" si="9"/>
        <v/>
      </c>
      <c r="G159" s="55" t="str">
        <f t="shared" si="10"/>
        <v/>
      </c>
    </row>
    <row r="160" spans="1:7" ht="15" x14ac:dyDescent="0.2">
      <c r="A160" s="79"/>
      <c r="B160" s="79"/>
      <c r="C160" s="79"/>
      <c r="D160" s="55" t="str">
        <f t="shared" si="8"/>
        <v/>
      </c>
      <c r="E160" s="56" t="str">
        <f t="shared" si="11"/>
        <v/>
      </c>
      <c r="F160" s="55" t="str">
        <f t="shared" si="9"/>
        <v/>
      </c>
      <c r="G160" s="55" t="str">
        <f t="shared" si="10"/>
        <v/>
      </c>
    </row>
    <row r="161" spans="1:7" ht="15" x14ac:dyDescent="0.2">
      <c r="A161" s="79"/>
      <c r="B161" s="79"/>
      <c r="C161" s="79"/>
      <c r="D161" s="55" t="str">
        <f t="shared" si="8"/>
        <v/>
      </c>
      <c r="E161" s="56" t="str">
        <f t="shared" si="11"/>
        <v/>
      </c>
      <c r="F161" s="55" t="str">
        <f t="shared" si="9"/>
        <v/>
      </c>
      <c r="G161" s="55" t="str">
        <f t="shared" si="10"/>
        <v/>
      </c>
    </row>
    <row r="162" spans="1:7" ht="15" x14ac:dyDescent="0.2">
      <c r="A162" s="79"/>
      <c r="B162" s="79"/>
      <c r="C162" s="79"/>
      <c r="D162" s="55" t="str">
        <f t="shared" si="8"/>
        <v/>
      </c>
      <c r="E162" s="56" t="str">
        <f t="shared" si="11"/>
        <v/>
      </c>
      <c r="F162" s="55" t="str">
        <f t="shared" si="9"/>
        <v/>
      </c>
      <c r="G162" s="55" t="str">
        <f t="shared" si="10"/>
        <v/>
      </c>
    </row>
    <row r="163" spans="1:7" ht="15" x14ac:dyDescent="0.2">
      <c r="A163" s="79"/>
      <c r="B163" s="79"/>
      <c r="C163" s="79"/>
      <c r="D163" s="55" t="str">
        <f t="shared" si="8"/>
        <v/>
      </c>
      <c r="E163" s="56" t="str">
        <f t="shared" si="11"/>
        <v/>
      </c>
      <c r="F163" s="55" t="str">
        <f t="shared" si="9"/>
        <v/>
      </c>
      <c r="G163" s="55" t="str">
        <f t="shared" si="10"/>
        <v/>
      </c>
    </row>
    <row r="164" spans="1:7" ht="15" x14ac:dyDescent="0.2">
      <c r="A164" s="79"/>
      <c r="B164" s="79"/>
      <c r="C164" s="79"/>
      <c r="D164" s="55" t="str">
        <f t="shared" si="8"/>
        <v/>
      </c>
      <c r="E164" s="56" t="str">
        <f t="shared" si="11"/>
        <v/>
      </c>
      <c r="F164" s="55" t="str">
        <f t="shared" si="9"/>
        <v/>
      </c>
      <c r="G164" s="55" t="str">
        <f t="shared" si="10"/>
        <v/>
      </c>
    </row>
    <row r="165" spans="1:7" ht="15" x14ac:dyDescent="0.2">
      <c r="A165" s="79"/>
      <c r="B165" s="79"/>
      <c r="C165" s="79"/>
      <c r="D165" s="55" t="str">
        <f t="shared" si="8"/>
        <v/>
      </c>
      <c r="E165" s="56" t="str">
        <f t="shared" si="11"/>
        <v/>
      </c>
      <c r="F165" s="55" t="str">
        <f t="shared" si="9"/>
        <v/>
      </c>
      <c r="G165" s="55" t="str">
        <f t="shared" si="10"/>
        <v/>
      </c>
    </row>
    <row r="166" spans="1:7" ht="15" x14ac:dyDescent="0.2">
      <c r="A166" s="79"/>
      <c r="B166" s="79"/>
      <c r="C166" s="79"/>
      <c r="D166" s="55" t="str">
        <f t="shared" si="8"/>
        <v/>
      </c>
      <c r="E166" s="56" t="str">
        <f t="shared" si="11"/>
        <v/>
      </c>
      <c r="F166" s="55" t="str">
        <f t="shared" si="9"/>
        <v/>
      </c>
      <c r="G166" s="55" t="str">
        <f t="shared" si="10"/>
        <v/>
      </c>
    </row>
    <row r="167" spans="1:7" ht="15" x14ac:dyDescent="0.2">
      <c r="A167" s="79"/>
      <c r="B167" s="79"/>
      <c r="C167" s="79"/>
      <c r="D167" s="55" t="str">
        <f t="shared" si="8"/>
        <v/>
      </c>
      <c r="E167" s="56" t="str">
        <f t="shared" si="11"/>
        <v/>
      </c>
      <c r="F167" s="55" t="str">
        <f t="shared" si="9"/>
        <v/>
      </c>
      <c r="G167" s="55" t="str">
        <f t="shared" si="10"/>
        <v/>
      </c>
    </row>
    <row r="168" spans="1:7" ht="15" x14ac:dyDescent="0.2">
      <c r="A168" s="79"/>
      <c r="B168" s="79"/>
      <c r="C168" s="79"/>
      <c r="D168" s="55" t="str">
        <f t="shared" si="8"/>
        <v/>
      </c>
      <c r="E168" s="56" t="str">
        <f t="shared" si="11"/>
        <v/>
      </c>
      <c r="F168" s="55" t="str">
        <f t="shared" si="9"/>
        <v/>
      </c>
      <c r="G168" s="55" t="str">
        <f t="shared" si="10"/>
        <v/>
      </c>
    </row>
    <row r="169" spans="1:7" ht="15" x14ac:dyDescent="0.2">
      <c r="A169" s="79"/>
      <c r="B169" s="79"/>
      <c r="C169" s="79"/>
      <c r="D169" s="55" t="str">
        <f t="shared" si="8"/>
        <v/>
      </c>
      <c r="E169" s="56" t="str">
        <f t="shared" si="11"/>
        <v/>
      </c>
      <c r="F169" s="55" t="str">
        <f t="shared" si="9"/>
        <v/>
      </c>
      <c r="G169" s="55" t="str">
        <f t="shared" si="10"/>
        <v/>
      </c>
    </row>
    <row r="170" spans="1:7" ht="15" x14ac:dyDescent="0.2">
      <c r="A170" s="79"/>
      <c r="B170" s="79"/>
      <c r="C170" s="79"/>
      <c r="D170" s="55" t="str">
        <f t="shared" si="8"/>
        <v/>
      </c>
      <c r="E170" s="56" t="str">
        <f t="shared" si="11"/>
        <v/>
      </c>
      <c r="F170" s="55" t="str">
        <f t="shared" si="9"/>
        <v/>
      </c>
      <c r="G170" s="55" t="str">
        <f t="shared" si="10"/>
        <v/>
      </c>
    </row>
    <row r="171" spans="1:7" ht="15" x14ac:dyDescent="0.2">
      <c r="A171" s="79"/>
      <c r="B171" s="79"/>
      <c r="C171" s="79"/>
      <c r="D171" s="55" t="str">
        <f t="shared" si="8"/>
        <v/>
      </c>
      <c r="E171" s="56" t="str">
        <f t="shared" si="11"/>
        <v/>
      </c>
      <c r="F171" s="55" t="str">
        <f t="shared" si="9"/>
        <v/>
      </c>
      <c r="G171" s="55" t="str">
        <f t="shared" si="10"/>
        <v/>
      </c>
    </row>
    <row r="172" spans="1:7" ht="15" x14ac:dyDescent="0.2">
      <c r="A172" s="79"/>
      <c r="B172" s="79"/>
      <c r="C172" s="79"/>
      <c r="D172" s="55" t="str">
        <f t="shared" si="8"/>
        <v/>
      </c>
      <c r="E172" s="56" t="str">
        <f t="shared" si="11"/>
        <v/>
      </c>
      <c r="F172" s="55" t="str">
        <f t="shared" si="9"/>
        <v/>
      </c>
      <c r="G172" s="55" t="str">
        <f t="shared" si="10"/>
        <v/>
      </c>
    </row>
    <row r="173" spans="1:7" ht="15" x14ac:dyDescent="0.2">
      <c r="A173" s="79"/>
      <c r="B173" s="79"/>
      <c r="C173" s="79"/>
      <c r="D173" s="55" t="str">
        <f t="shared" si="8"/>
        <v/>
      </c>
      <c r="E173" s="56" t="str">
        <f t="shared" si="11"/>
        <v/>
      </c>
      <c r="F173" s="55" t="str">
        <f t="shared" si="9"/>
        <v/>
      </c>
      <c r="G173" s="55" t="str">
        <f t="shared" si="10"/>
        <v/>
      </c>
    </row>
    <row r="174" spans="1:7" ht="15" x14ac:dyDescent="0.2">
      <c r="A174" s="79"/>
      <c r="B174" s="79"/>
      <c r="C174" s="79"/>
      <c r="D174" s="55" t="str">
        <f t="shared" si="8"/>
        <v/>
      </c>
      <c r="E174" s="56" t="str">
        <f t="shared" si="11"/>
        <v/>
      </c>
      <c r="F174" s="55" t="str">
        <f t="shared" si="9"/>
        <v/>
      </c>
      <c r="G174" s="55" t="str">
        <f t="shared" si="10"/>
        <v/>
      </c>
    </row>
    <row r="175" spans="1:7" ht="15" x14ac:dyDescent="0.2">
      <c r="A175" s="79"/>
      <c r="B175" s="79"/>
      <c r="C175" s="79"/>
      <c r="D175" s="55" t="str">
        <f t="shared" si="8"/>
        <v/>
      </c>
      <c r="E175" s="56" t="str">
        <f t="shared" si="11"/>
        <v/>
      </c>
      <c r="F175" s="55" t="str">
        <f t="shared" si="9"/>
        <v/>
      </c>
      <c r="G175" s="55" t="str">
        <f t="shared" si="10"/>
        <v/>
      </c>
    </row>
    <row r="176" spans="1:7" ht="15" x14ac:dyDescent="0.2">
      <c r="A176" s="79"/>
      <c r="B176" s="79"/>
      <c r="C176" s="79"/>
      <c r="D176" s="55" t="str">
        <f t="shared" si="8"/>
        <v/>
      </c>
      <c r="E176" s="56" t="str">
        <f t="shared" si="11"/>
        <v/>
      </c>
      <c r="F176" s="55" t="str">
        <f t="shared" si="9"/>
        <v/>
      </c>
      <c r="G176" s="55" t="str">
        <f t="shared" si="10"/>
        <v/>
      </c>
    </row>
    <row r="177" spans="1:7" ht="15" x14ac:dyDescent="0.2">
      <c r="A177" s="79"/>
      <c r="B177" s="79"/>
      <c r="C177" s="79"/>
      <c r="D177" s="55" t="str">
        <f t="shared" si="8"/>
        <v/>
      </c>
      <c r="E177" s="56" t="str">
        <f t="shared" si="11"/>
        <v/>
      </c>
      <c r="F177" s="55" t="str">
        <f t="shared" si="9"/>
        <v/>
      </c>
      <c r="G177" s="55" t="str">
        <f t="shared" si="10"/>
        <v/>
      </c>
    </row>
    <row r="178" spans="1:7" ht="15" x14ac:dyDescent="0.2">
      <c r="A178" s="79"/>
      <c r="B178" s="79"/>
      <c r="C178" s="79"/>
      <c r="D178" s="55" t="str">
        <f t="shared" si="8"/>
        <v/>
      </c>
      <c r="E178" s="56" t="str">
        <f t="shared" si="11"/>
        <v/>
      </c>
      <c r="F178" s="55" t="str">
        <f t="shared" si="9"/>
        <v/>
      </c>
      <c r="G178" s="55" t="str">
        <f t="shared" si="10"/>
        <v/>
      </c>
    </row>
    <row r="179" spans="1:7" ht="15" x14ac:dyDescent="0.2">
      <c r="A179" s="79"/>
      <c r="B179" s="79"/>
      <c r="C179" s="79"/>
      <c r="D179" s="55" t="str">
        <f t="shared" si="8"/>
        <v/>
      </c>
      <c r="E179" s="56" t="str">
        <f t="shared" si="11"/>
        <v/>
      </c>
      <c r="F179" s="55" t="str">
        <f t="shared" si="9"/>
        <v/>
      </c>
      <c r="G179" s="55" t="str">
        <f t="shared" si="10"/>
        <v/>
      </c>
    </row>
    <row r="180" spans="1:7" ht="15" x14ac:dyDescent="0.2">
      <c r="A180" s="79"/>
      <c r="B180" s="79"/>
      <c r="C180" s="79"/>
      <c r="D180" s="55" t="str">
        <f t="shared" si="8"/>
        <v/>
      </c>
      <c r="E180" s="56" t="str">
        <f t="shared" si="11"/>
        <v/>
      </c>
      <c r="F180" s="55" t="str">
        <f t="shared" si="9"/>
        <v/>
      </c>
      <c r="G180" s="55" t="str">
        <f t="shared" si="10"/>
        <v/>
      </c>
    </row>
    <row r="181" spans="1:7" ht="15" x14ac:dyDescent="0.2">
      <c r="A181" s="79"/>
      <c r="B181" s="79"/>
      <c r="C181" s="79"/>
      <c r="D181" s="55" t="str">
        <f t="shared" si="8"/>
        <v/>
      </c>
      <c r="E181" s="56" t="str">
        <f t="shared" si="11"/>
        <v/>
      </c>
      <c r="F181" s="55" t="str">
        <f t="shared" si="9"/>
        <v/>
      </c>
      <c r="G181" s="55" t="str">
        <f t="shared" si="10"/>
        <v/>
      </c>
    </row>
    <row r="182" spans="1:7" ht="15" x14ac:dyDescent="0.2">
      <c r="A182" s="79"/>
      <c r="B182" s="79"/>
      <c r="C182" s="79"/>
      <c r="D182" s="55" t="str">
        <f t="shared" si="8"/>
        <v/>
      </c>
      <c r="E182" s="56" t="str">
        <f t="shared" si="11"/>
        <v/>
      </c>
      <c r="F182" s="55" t="str">
        <f t="shared" si="9"/>
        <v/>
      </c>
      <c r="G182" s="55" t="str">
        <f t="shared" si="10"/>
        <v/>
      </c>
    </row>
    <row r="183" spans="1:7" ht="15" x14ac:dyDescent="0.2">
      <c r="A183" s="79"/>
      <c r="B183" s="79"/>
      <c r="C183" s="79"/>
      <c r="D183" s="55" t="str">
        <f t="shared" si="8"/>
        <v/>
      </c>
      <c r="E183" s="56" t="str">
        <f t="shared" si="11"/>
        <v/>
      </c>
      <c r="F183" s="55" t="str">
        <f t="shared" si="9"/>
        <v/>
      </c>
      <c r="G183" s="55" t="str">
        <f t="shared" si="10"/>
        <v/>
      </c>
    </row>
    <row r="184" spans="1:7" ht="15" x14ac:dyDescent="0.2">
      <c r="A184" s="79"/>
      <c r="B184" s="79"/>
      <c r="C184" s="79"/>
      <c r="D184" s="55" t="str">
        <f t="shared" si="8"/>
        <v/>
      </c>
      <c r="E184" s="56" t="str">
        <f t="shared" si="11"/>
        <v/>
      </c>
      <c r="F184" s="55" t="str">
        <f t="shared" si="9"/>
        <v/>
      </c>
      <c r="G184" s="55" t="str">
        <f t="shared" si="10"/>
        <v/>
      </c>
    </row>
    <row r="185" spans="1:7" ht="15" x14ac:dyDescent="0.2">
      <c r="A185" s="79"/>
      <c r="B185" s="79"/>
      <c r="C185" s="79"/>
      <c r="D185" s="55" t="str">
        <f t="shared" si="8"/>
        <v/>
      </c>
      <c r="E185" s="56" t="str">
        <f t="shared" si="11"/>
        <v/>
      </c>
      <c r="F185" s="55" t="str">
        <f t="shared" si="9"/>
        <v/>
      </c>
      <c r="G185" s="55" t="str">
        <f t="shared" si="10"/>
        <v/>
      </c>
    </row>
    <row r="186" spans="1:7" ht="15" x14ac:dyDescent="0.2">
      <c r="A186" s="79"/>
      <c r="B186" s="79"/>
      <c r="C186" s="79"/>
      <c r="D186" s="55" t="str">
        <f t="shared" si="8"/>
        <v/>
      </c>
      <c r="E186" s="56" t="str">
        <f t="shared" si="11"/>
        <v/>
      </c>
      <c r="F186" s="55" t="str">
        <f t="shared" si="9"/>
        <v/>
      </c>
      <c r="G186" s="55" t="str">
        <f t="shared" si="10"/>
        <v/>
      </c>
    </row>
    <row r="187" spans="1:7" ht="15" x14ac:dyDescent="0.2">
      <c r="A187" s="79"/>
      <c r="B187" s="79"/>
      <c r="C187" s="79"/>
      <c r="D187" s="55" t="str">
        <f t="shared" si="8"/>
        <v/>
      </c>
      <c r="E187" s="56" t="str">
        <f t="shared" si="11"/>
        <v/>
      </c>
      <c r="F187" s="55" t="str">
        <f t="shared" si="9"/>
        <v/>
      </c>
      <c r="G187" s="55" t="str">
        <f t="shared" si="10"/>
        <v/>
      </c>
    </row>
    <row r="188" spans="1:7" ht="15" x14ac:dyDescent="0.2">
      <c r="A188" s="79"/>
      <c r="B188" s="79"/>
      <c r="C188" s="79"/>
      <c r="D188" s="55" t="str">
        <f t="shared" si="8"/>
        <v/>
      </c>
      <c r="E188" s="56" t="str">
        <f t="shared" si="11"/>
        <v/>
      </c>
      <c r="F188" s="55" t="str">
        <f t="shared" si="9"/>
        <v/>
      </c>
      <c r="G188" s="55" t="str">
        <f t="shared" si="10"/>
        <v/>
      </c>
    </row>
    <row r="189" spans="1:7" ht="15" x14ac:dyDescent="0.2">
      <c r="A189" s="79"/>
      <c r="B189" s="79"/>
      <c r="C189" s="79"/>
      <c r="D189" s="55" t="str">
        <f t="shared" si="8"/>
        <v/>
      </c>
      <c r="E189" s="56" t="str">
        <f t="shared" si="11"/>
        <v/>
      </c>
      <c r="F189" s="55" t="str">
        <f t="shared" si="9"/>
        <v/>
      </c>
      <c r="G189" s="55" t="str">
        <f t="shared" si="10"/>
        <v/>
      </c>
    </row>
    <row r="190" spans="1:7" ht="15" x14ac:dyDescent="0.2">
      <c r="A190" s="79"/>
      <c r="B190" s="79"/>
      <c r="C190" s="79"/>
      <c r="D190" s="55" t="str">
        <f t="shared" si="8"/>
        <v/>
      </c>
      <c r="E190" s="56" t="str">
        <f t="shared" si="11"/>
        <v/>
      </c>
      <c r="F190" s="55" t="str">
        <f t="shared" si="9"/>
        <v/>
      </c>
      <c r="G190" s="55" t="str">
        <f t="shared" si="10"/>
        <v/>
      </c>
    </row>
    <row r="191" spans="1:7" ht="15" x14ac:dyDescent="0.2">
      <c r="A191" s="79"/>
      <c r="B191" s="79"/>
      <c r="C191" s="79"/>
      <c r="D191" s="55" t="str">
        <f t="shared" si="8"/>
        <v/>
      </c>
      <c r="E191" s="56" t="str">
        <f t="shared" si="11"/>
        <v/>
      </c>
      <c r="F191" s="55" t="str">
        <f t="shared" si="9"/>
        <v/>
      </c>
      <c r="G191" s="55" t="str">
        <f t="shared" si="10"/>
        <v/>
      </c>
    </row>
    <row r="192" spans="1:7" ht="15" x14ac:dyDescent="0.2">
      <c r="A192" s="79"/>
      <c r="B192" s="79"/>
      <c r="C192" s="79"/>
      <c r="D192" s="55" t="str">
        <f t="shared" si="8"/>
        <v/>
      </c>
      <c r="E192" s="56" t="str">
        <f t="shared" si="11"/>
        <v/>
      </c>
      <c r="F192" s="55" t="str">
        <f t="shared" si="9"/>
        <v/>
      </c>
      <c r="G192" s="55" t="str">
        <f t="shared" si="10"/>
        <v/>
      </c>
    </row>
    <row r="193" spans="1:7" ht="15" x14ac:dyDescent="0.2">
      <c r="A193" s="79"/>
      <c r="B193" s="79"/>
      <c r="C193" s="79"/>
      <c r="D193" s="55" t="str">
        <f t="shared" si="8"/>
        <v/>
      </c>
      <c r="E193" s="56" t="str">
        <f t="shared" si="11"/>
        <v/>
      </c>
      <c r="F193" s="55" t="str">
        <f t="shared" si="9"/>
        <v/>
      </c>
      <c r="G193" s="55" t="str">
        <f t="shared" si="10"/>
        <v/>
      </c>
    </row>
    <row r="194" spans="1:7" ht="15" x14ac:dyDescent="0.2">
      <c r="A194" s="79"/>
      <c r="B194" s="79"/>
      <c r="C194" s="79"/>
      <c r="D194" s="55" t="str">
        <f t="shared" si="8"/>
        <v/>
      </c>
      <c r="E194" s="56" t="str">
        <f t="shared" si="11"/>
        <v/>
      </c>
      <c r="F194" s="55" t="str">
        <f t="shared" si="9"/>
        <v/>
      </c>
      <c r="G194" s="55" t="str">
        <f t="shared" si="10"/>
        <v/>
      </c>
    </row>
    <row r="195" spans="1:7" ht="15" x14ac:dyDescent="0.2">
      <c r="A195" s="79"/>
      <c r="B195" s="79"/>
      <c r="C195" s="79"/>
      <c r="D195" s="55" t="str">
        <f t="shared" ref="D195:D258" si="12">IFERROR(IF(B195="","",C195-B195),"")</f>
        <v/>
      </c>
      <c r="E195" s="56" t="str">
        <f t="shared" si="11"/>
        <v/>
      </c>
      <c r="F195" s="55" t="str">
        <f t="shared" ref="F195:F258" si="13">IF(Kielivalinta="","",IF(B195="",IF(Kielivalinta="Suomi","Tieto puuttuu :"&amp;B$3,IF(Kielivalinta="Svenska","Information saknas :"&amp;B$3)),""))</f>
        <v/>
      </c>
      <c r="G195" s="55" t="str">
        <f t="shared" ref="G195:G258" si="14">IF(Kielivalinta="","",IF(C195="",IF(Kielivalinta="Suomi","Tieto puuttuu :"&amp;C$3,IF(Kielivalinta="Svenska","Information saknas :"&amp;C$3)),""))</f>
        <v/>
      </c>
    </row>
    <row r="196" spans="1:7" ht="15" x14ac:dyDescent="0.2">
      <c r="A196" s="79"/>
      <c r="B196" s="79"/>
      <c r="C196" s="79"/>
      <c r="D196" s="55" t="str">
        <f t="shared" si="12"/>
        <v/>
      </c>
      <c r="E196" s="56" t="str">
        <f t="shared" ref="E196:E259" si="15">IFERROR(IF(B196="","",IF(B196=0,"",IF(B196="","",(C196/B196)-1))),"")</f>
        <v/>
      </c>
      <c r="F196" s="55" t="str">
        <f t="shared" si="13"/>
        <v/>
      </c>
      <c r="G196" s="55" t="str">
        <f t="shared" si="14"/>
        <v/>
      </c>
    </row>
    <row r="197" spans="1:7" ht="15" x14ac:dyDescent="0.2">
      <c r="A197" s="79"/>
      <c r="B197" s="79"/>
      <c r="C197" s="79"/>
      <c r="D197" s="55" t="str">
        <f t="shared" si="12"/>
        <v/>
      </c>
      <c r="E197" s="56" t="str">
        <f t="shared" si="15"/>
        <v/>
      </c>
      <c r="F197" s="55" t="str">
        <f t="shared" si="13"/>
        <v/>
      </c>
      <c r="G197" s="55" t="str">
        <f t="shared" si="14"/>
        <v/>
      </c>
    </row>
    <row r="198" spans="1:7" ht="15" x14ac:dyDescent="0.2">
      <c r="A198" s="79"/>
      <c r="B198" s="79"/>
      <c r="C198" s="79"/>
      <c r="D198" s="55" t="str">
        <f t="shared" si="12"/>
        <v/>
      </c>
      <c r="E198" s="56" t="str">
        <f t="shared" si="15"/>
        <v/>
      </c>
      <c r="F198" s="55" t="str">
        <f t="shared" si="13"/>
        <v/>
      </c>
      <c r="G198" s="55" t="str">
        <f t="shared" si="14"/>
        <v/>
      </c>
    </row>
    <row r="199" spans="1:7" ht="15" x14ac:dyDescent="0.2">
      <c r="A199" s="79"/>
      <c r="B199" s="79"/>
      <c r="C199" s="79"/>
      <c r="D199" s="55" t="str">
        <f t="shared" si="12"/>
        <v/>
      </c>
      <c r="E199" s="56" t="str">
        <f t="shared" si="15"/>
        <v/>
      </c>
      <c r="F199" s="55" t="str">
        <f t="shared" si="13"/>
        <v/>
      </c>
      <c r="G199" s="55" t="str">
        <f t="shared" si="14"/>
        <v/>
      </c>
    </row>
    <row r="200" spans="1:7" ht="15" x14ac:dyDescent="0.2">
      <c r="A200" s="79"/>
      <c r="B200" s="79"/>
      <c r="C200" s="79"/>
      <c r="D200" s="55" t="str">
        <f t="shared" si="12"/>
        <v/>
      </c>
      <c r="E200" s="56" t="str">
        <f t="shared" si="15"/>
        <v/>
      </c>
      <c r="F200" s="55" t="str">
        <f t="shared" si="13"/>
        <v/>
      </c>
      <c r="G200" s="55" t="str">
        <f t="shared" si="14"/>
        <v/>
      </c>
    </row>
    <row r="201" spans="1:7" ht="15" x14ac:dyDescent="0.2">
      <c r="A201" s="79"/>
      <c r="B201" s="79"/>
      <c r="C201" s="79"/>
      <c r="D201" s="55" t="str">
        <f t="shared" si="12"/>
        <v/>
      </c>
      <c r="E201" s="56" t="str">
        <f t="shared" si="15"/>
        <v/>
      </c>
      <c r="F201" s="55" t="str">
        <f t="shared" si="13"/>
        <v/>
      </c>
      <c r="G201" s="55" t="str">
        <f t="shared" si="14"/>
        <v/>
      </c>
    </row>
    <row r="202" spans="1:7" ht="15" x14ac:dyDescent="0.2">
      <c r="A202" s="79"/>
      <c r="B202" s="79"/>
      <c r="C202" s="79"/>
      <c r="D202" s="55" t="str">
        <f t="shared" si="12"/>
        <v/>
      </c>
      <c r="E202" s="56" t="str">
        <f t="shared" si="15"/>
        <v/>
      </c>
      <c r="F202" s="55" t="str">
        <f t="shared" si="13"/>
        <v/>
      </c>
      <c r="G202" s="55" t="str">
        <f t="shared" si="14"/>
        <v/>
      </c>
    </row>
    <row r="203" spans="1:7" ht="15" x14ac:dyDescent="0.2">
      <c r="A203" s="79"/>
      <c r="B203" s="79"/>
      <c r="C203" s="79"/>
      <c r="D203" s="55" t="str">
        <f t="shared" si="12"/>
        <v/>
      </c>
      <c r="E203" s="56" t="str">
        <f t="shared" si="15"/>
        <v/>
      </c>
      <c r="F203" s="55" t="str">
        <f t="shared" si="13"/>
        <v/>
      </c>
      <c r="G203" s="55" t="str">
        <f t="shared" si="14"/>
        <v/>
      </c>
    </row>
    <row r="204" spans="1:7" ht="15" x14ac:dyDescent="0.2">
      <c r="A204" s="79"/>
      <c r="B204" s="79"/>
      <c r="C204" s="79"/>
      <c r="D204" s="55" t="str">
        <f t="shared" si="12"/>
        <v/>
      </c>
      <c r="E204" s="56" t="str">
        <f t="shared" si="15"/>
        <v/>
      </c>
      <c r="F204" s="55" t="str">
        <f t="shared" si="13"/>
        <v/>
      </c>
      <c r="G204" s="55" t="str">
        <f t="shared" si="14"/>
        <v/>
      </c>
    </row>
    <row r="205" spans="1:7" ht="15" x14ac:dyDescent="0.2">
      <c r="A205" s="79"/>
      <c r="B205" s="79"/>
      <c r="C205" s="79"/>
      <c r="D205" s="55" t="str">
        <f t="shared" si="12"/>
        <v/>
      </c>
      <c r="E205" s="56" t="str">
        <f t="shared" si="15"/>
        <v/>
      </c>
      <c r="F205" s="55" t="str">
        <f t="shared" si="13"/>
        <v/>
      </c>
      <c r="G205" s="55" t="str">
        <f t="shared" si="14"/>
        <v/>
      </c>
    </row>
    <row r="206" spans="1:7" ht="15" x14ac:dyDescent="0.2">
      <c r="A206" s="79"/>
      <c r="B206" s="79"/>
      <c r="C206" s="79"/>
      <c r="D206" s="55" t="str">
        <f t="shared" si="12"/>
        <v/>
      </c>
      <c r="E206" s="56" t="str">
        <f t="shared" si="15"/>
        <v/>
      </c>
      <c r="F206" s="55" t="str">
        <f t="shared" si="13"/>
        <v/>
      </c>
      <c r="G206" s="55" t="str">
        <f t="shared" si="14"/>
        <v/>
      </c>
    </row>
    <row r="207" spans="1:7" ht="15" x14ac:dyDescent="0.2">
      <c r="A207" s="79"/>
      <c r="B207" s="79"/>
      <c r="C207" s="79"/>
      <c r="D207" s="55" t="str">
        <f t="shared" si="12"/>
        <v/>
      </c>
      <c r="E207" s="56" t="str">
        <f t="shared" si="15"/>
        <v/>
      </c>
      <c r="F207" s="55" t="str">
        <f t="shared" si="13"/>
        <v/>
      </c>
      <c r="G207" s="55" t="str">
        <f t="shared" si="14"/>
        <v/>
      </c>
    </row>
    <row r="208" spans="1:7" ht="15" x14ac:dyDescent="0.2">
      <c r="A208" s="79"/>
      <c r="B208" s="79"/>
      <c r="C208" s="79"/>
      <c r="D208" s="55" t="str">
        <f t="shared" si="12"/>
        <v/>
      </c>
      <c r="E208" s="56" t="str">
        <f t="shared" si="15"/>
        <v/>
      </c>
      <c r="F208" s="55" t="str">
        <f t="shared" si="13"/>
        <v/>
      </c>
      <c r="G208" s="55" t="str">
        <f t="shared" si="14"/>
        <v/>
      </c>
    </row>
    <row r="209" spans="1:7" ht="15" x14ac:dyDescent="0.2">
      <c r="A209" s="79"/>
      <c r="B209" s="79"/>
      <c r="C209" s="79"/>
      <c r="D209" s="55" t="str">
        <f t="shared" si="12"/>
        <v/>
      </c>
      <c r="E209" s="56" t="str">
        <f t="shared" si="15"/>
        <v/>
      </c>
      <c r="F209" s="55" t="str">
        <f t="shared" si="13"/>
        <v/>
      </c>
      <c r="G209" s="55" t="str">
        <f t="shared" si="14"/>
        <v/>
      </c>
    </row>
    <row r="210" spans="1:7" ht="15" x14ac:dyDescent="0.2">
      <c r="A210" s="79"/>
      <c r="B210" s="79"/>
      <c r="C210" s="79"/>
      <c r="D210" s="55" t="str">
        <f t="shared" si="12"/>
        <v/>
      </c>
      <c r="E210" s="56" t="str">
        <f t="shared" si="15"/>
        <v/>
      </c>
      <c r="F210" s="55" t="str">
        <f t="shared" si="13"/>
        <v/>
      </c>
      <c r="G210" s="55" t="str">
        <f t="shared" si="14"/>
        <v/>
      </c>
    </row>
    <row r="211" spans="1:7" ht="15" x14ac:dyDescent="0.2">
      <c r="A211" s="79"/>
      <c r="B211" s="79"/>
      <c r="C211" s="79"/>
      <c r="D211" s="55" t="str">
        <f t="shared" si="12"/>
        <v/>
      </c>
      <c r="E211" s="56" t="str">
        <f t="shared" si="15"/>
        <v/>
      </c>
      <c r="F211" s="55" t="str">
        <f t="shared" si="13"/>
        <v/>
      </c>
      <c r="G211" s="55" t="str">
        <f t="shared" si="14"/>
        <v/>
      </c>
    </row>
    <row r="212" spans="1:7" ht="15" x14ac:dyDescent="0.2">
      <c r="A212" s="79"/>
      <c r="B212" s="79"/>
      <c r="C212" s="79"/>
      <c r="D212" s="55" t="str">
        <f t="shared" si="12"/>
        <v/>
      </c>
      <c r="E212" s="56" t="str">
        <f t="shared" si="15"/>
        <v/>
      </c>
      <c r="F212" s="55" t="str">
        <f t="shared" si="13"/>
        <v/>
      </c>
      <c r="G212" s="55" t="str">
        <f t="shared" si="14"/>
        <v/>
      </c>
    </row>
    <row r="213" spans="1:7" ht="15" x14ac:dyDescent="0.2">
      <c r="A213" s="79"/>
      <c r="B213" s="79"/>
      <c r="C213" s="79"/>
      <c r="D213" s="55" t="str">
        <f t="shared" si="12"/>
        <v/>
      </c>
      <c r="E213" s="56" t="str">
        <f t="shared" si="15"/>
        <v/>
      </c>
      <c r="F213" s="55" t="str">
        <f t="shared" si="13"/>
        <v/>
      </c>
      <c r="G213" s="55" t="str">
        <f t="shared" si="14"/>
        <v/>
      </c>
    </row>
    <row r="214" spans="1:7" ht="15" x14ac:dyDescent="0.2">
      <c r="A214" s="79"/>
      <c r="B214" s="79"/>
      <c r="C214" s="79"/>
      <c r="D214" s="55" t="str">
        <f t="shared" si="12"/>
        <v/>
      </c>
      <c r="E214" s="56" t="str">
        <f t="shared" si="15"/>
        <v/>
      </c>
      <c r="F214" s="55" t="str">
        <f t="shared" si="13"/>
        <v/>
      </c>
      <c r="G214" s="55" t="str">
        <f t="shared" si="14"/>
        <v/>
      </c>
    </row>
    <row r="215" spans="1:7" ht="15" x14ac:dyDescent="0.2">
      <c r="A215" s="79"/>
      <c r="B215" s="79"/>
      <c r="C215" s="79"/>
      <c r="D215" s="55" t="str">
        <f t="shared" si="12"/>
        <v/>
      </c>
      <c r="E215" s="56" t="str">
        <f t="shared" si="15"/>
        <v/>
      </c>
      <c r="F215" s="55" t="str">
        <f t="shared" si="13"/>
        <v/>
      </c>
      <c r="G215" s="55" t="str">
        <f t="shared" si="14"/>
        <v/>
      </c>
    </row>
    <row r="216" spans="1:7" ht="15" x14ac:dyDescent="0.2">
      <c r="A216" s="79"/>
      <c r="B216" s="79"/>
      <c r="C216" s="79"/>
      <c r="D216" s="55" t="str">
        <f t="shared" si="12"/>
        <v/>
      </c>
      <c r="E216" s="56" t="str">
        <f t="shared" si="15"/>
        <v/>
      </c>
      <c r="F216" s="55" t="str">
        <f t="shared" si="13"/>
        <v/>
      </c>
      <c r="G216" s="55" t="str">
        <f t="shared" si="14"/>
        <v/>
      </c>
    </row>
    <row r="217" spans="1:7" ht="15" customHeight="1" x14ac:dyDescent="0.2">
      <c r="A217" s="79"/>
      <c r="B217" s="79"/>
      <c r="C217" s="79"/>
      <c r="D217" s="55" t="str">
        <f t="shared" si="12"/>
        <v/>
      </c>
      <c r="E217" s="56" t="str">
        <f t="shared" si="15"/>
        <v/>
      </c>
      <c r="F217" s="55" t="str">
        <f t="shared" si="13"/>
        <v/>
      </c>
      <c r="G217" s="55" t="str">
        <f t="shared" si="14"/>
        <v/>
      </c>
    </row>
    <row r="218" spans="1:7" ht="15" x14ac:dyDescent="0.2">
      <c r="A218" s="79"/>
      <c r="B218" s="79"/>
      <c r="C218" s="79"/>
      <c r="D218" s="55" t="str">
        <f t="shared" si="12"/>
        <v/>
      </c>
      <c r="E218" s="56" t="str">
        <f t="shared" si="15"/>
        <v/>
      </c>
      <c r="F218" s="55" t="str">
        <f t="shared" si="13"/>
        <v/>
      </c>
      <c r="G218" s="55" t="str">
        <f t="shared" si="14"/>
        <v/>
      </c>
    </row>
    <row r="219" spans="1:7" ht="15" x14ac:dyDescent="0.2">
      <c r="A219" s="79"/>
      <c r="B219" s="79"/>
      <c r="C219" s="79"/>
      <c r="D219" s="55" t="str">
        <f t="shared" si="12"/>
        <v/>
      </c>
      <c r="E219" s="56" t="str">
        <f t="shared" si="15"/>
        <v/>
      </c>
      <c r="F219" s="55" t="str">
        <f t="shared" si="13"/>
        <v/>
      </c>
      <c r="G219" s="55" t="str">
        <f t="shared" si="14"/>
        <v/>
      </c>
    </row>
    <row r="220" spans="1:7" ht="15" x14ac:dyDescent="0.2">
      <c r="A220" s="79"/>
      <c r="B220" s="79"/>
      <c r="C220" s="79"/>
      <c r="D220" s="55" t="str">
        <f t="shared" si="12"/>
        <v/>
      </c>
      <c r="E220" s="56" t="str">
        <f t="shared" si="15"/>
        <v/>
      </c>
      <c r="F220" s="55" t="str">
        <f t="shared" si="13"/>
        <v/>
      </c>
      <c r="G220" s="55" t="str">
        <f t="shared" si="14"/>
        <v/>
      </c>
    </row>
    <row r="221" spans="1:7" ht="15" x14ac:dyDescent="0.2">
      <c r="A221" s="79"/>
      <c r="B221" s="79"/>
      <c r="C221" s="79"/>
      <c r="D221" s="55" t="str">
        <f t="shared" si="12"/>
        <v/>
      </c>
      <c r="E221" s="56" t="str">
        <f t="shared" si="15"/>
        <v/>
      </c>
      <c r="F221" s="55" t="str">
        <f t="shared" si="13"/>
        <v/>
      </c>
      <c r="G221" s="55" t="str">
        <f t="shared" si="14"/>
        <v/>
      </c>
    </row>
    <row r="222" spans="1:7" ht="15" x14ac:dyDescent="0.2">
      <c r="A222" s="79"/>
      <c r="B222" s="79"/>
      <c r="C222" s="79"/>
      <c r="D222" s="55" t="str">
        <f t="shared" si="12"/>
        <v/>
      </c>
      <c r="E222" s="56" t="str">
        <f t="shared" si="15"/>
        <v/>
      </c>
      <c r="F222" s="55" t="str">
        <f t="shared" si="13"/>
        <v/>
      </c>
      <c r="G222" s="55" t="str">
        <f t="shared" si="14"/>
        <v/>
      </c>
    </row>
    <row r="223" spans="1:7" ht="15" x14ac:dyDescent="0.2">
      <c r="A223" s="79"/>
      <c r="B223" s="79"/>
      <c r="C223" s="79"/>
      <c r="D223" s="55" t="str">
        <f t="shared" si="12"/>
        <v/>
      </c>
      <c r="E223" s="56" t="str">
        <f t="shared" si="15"/>
        <v/>
      </c>
      <c r="F223" s="55" t="str">
        <f t="shared" si="13"/>
        <v/>
      </c>
      <c r="G223" s="55" t="str">
        <f t="shared" si="14"/>
        <v/>
      </c>
    </row>
    <row r="224" spans="1:7" ht="15" x14ac:dyDescent="0.2">
      <c r="A224" s="79"/>
      <c r="B224" s="79"/>
      <c r="C224" s="79"/>
      <c r="D224" s="55" t="str">
        <f t="shared" si="12"/>
        <v/>
      </c>
      <c r="E224" s="56" t="str">
        <f t="shared" si="15"/>
        <v/>
      </c>
      <c r="F224" s="55" t="str">
        <f t="shared" si="13"/>
        <v/>
      </c>
      <c r="G224" s="55" t="str">
        <f t="shared" si="14"/>
        <v/>
      </c>
    </row>
    <row r="225" spans="1:7" ht="15" x14ac:dyDescent="0.2">
      <c r="A225" s="79"/>
      <c r="B225" s="79"/>
      <c r="C225" s="79"/>
      <c r="D225" s="55" t="str">
        <f t="shared" si="12"/>
        <v/>
      </c>
      <c r="E225" s="56" t="str">
        <f t="shared" si="15"/>
        <v/>
      </c>
      <c r="F225" s="55" t="str">
        <f t="shared" si="13"/>
        <v/>
      </c>
      <c r="G225" s="55" t="str">
        <f t="shared" si="14"/>
        <v/>
      </c>
    </row>
    <row r="226" spans="1:7" ht="15" x14ac:dyDescent="0.2">
      <c r="A226" s="79"/>
      <c r="B226" s="79"/>
      <c r="C226" s="79"/>
      <c r="D226" s="55" t="str">
        <f t="shared" si="12"/>
        <v/>
      </c>
      <c r="E226" s="56" t="str">
        <f t="shared" si="15"/>
        <v/>
      </c>
      <c r="F226" s="55" t="str">
        <f t="shared" si="13"/>
        <v/>
      </c>
      <c r="G226" s="55" t="str">
        <f t="shared" si="14"/>
        <v/>
      </c>
    </row>
    <row r="227" spans="1:7" ht="15" x14ac:dyDescent="0.2">
      <c r="A227" s="79"/>
      <c r="B227" s="79"/>
      <c r="C227" s="79"/>
      <c r="D227" s="55" t="str">
        <f t="shared" si="12"/>
        <v/>
      </c>
      <c r="E227" s="56" t="str">
        <f t="shared" si="15"/>
        <v/>
      </c>
      <c r="F227" s="55" t="str">
        <f t="shared" si="13"/>
        <v/>
      </c>
      <c r="G227" s="55" t="str">
        <f t="shared" si="14"/>
        <v/>
      </c>
    </row>
    <row r="228" spans="1:7" ht="15" x14ac:dyDescent="0.2">
      <c r="A228" s="79"/>
      <c r="B228" s="79"/>
      <c r="C228" s="79"/>
      <c r="D228" s="55" t="str">
        <f t="shared" si="12"/>
        <v/>
      </c>
      <c r="E228" s="56" t="str">
        <f t="shared" si="15"/>
        <v/>
      </c>
      <c r="F228" s="55" t="str">
        <f t="shared" si="13"/>
        <v/>
      </c>
      <c r="G228" s="55" t="str">
        <f t="shared" si="14"/>
        <v/>
      </c>
    </row>
    <row r="229" spans="1:7" ht="15" x14ac:dyDescent="0.2">
      <c r="A229" s="79"/>
      <c r="B229" s="79"/>
      <c r="C229" s="79"/>
      <c r="D229" s="55" t="str">
        <f t="shared" si="12"/>
        <v/>
      </c>
      <c r="E229" s="56" t="str">
        <f t="shared" si="15"/>
        <v/>
      </c>
      <c r="F229" s="55" t="str">
        <f t="shared" si="13"/>
        <v/>
      </c>
      <c r="G229" s="55" t="str">
        <f t="shared" si="14"/>
        <v/>
      </c>
    </row>
    <row r="230" spans="1:7" ht="15" x14ac:dyDescent="0.2">
      <c r="A230" s="79"/>
      <c r="B230" s="79"/>
      <c r="C230" s="79"/>
      <c r="D230" s="55" t="str">
        <f t="shared" si="12"/>
        <v/>
      </c>
      <c r="E230" s="56" t="str">
        <f t="shared" si="15"/>
        <v/>
      </c>
      <c r="F230" s="55" t="str">
        <f t="shared" si="13"/>
        <v/>
      </c>
      <c r="G230" s="55" t="str">
        <f t="shared" si="14"/>
        <v/>
      </c>
    </row>
    <row r="231" spans="1:7" ht="15" x14ac:dyDescent="0.2">
      <c r="A231" s="79"/>
      <c r="B231" s="79"/>
      <c r="C231" s="79"/>
      <c r="D231" s="55" t="str">
        <f t="shared" si="12"/>
        <v/>
      </c>
      <c r="E231" s="56" t="str">
        <f t="shared" si="15"/>
        <v/>
      </c>
      <c r="F231" s="55" t="str">
        <f t="shared" si="13"/>
        <v/>
      </c>
      <c r="G231" s="55" t="str">
        <f t="shared" si="14"/>
        <v/>
      </c>
    </row>
    <row r="232" spans="1:7" ht="15" x14ac:dyDescent="0.2">
      <c r="A232" s="79"/>
      <c r="B232" s="79"/>
      <c r="C232" s="79"/>
      <c r="D232" s="55" t="str">
        <f t="shared" si="12"/>
        <v/>
      </c>
      <c r="E232" s="56" t="str">
        <f t="shared" si="15"/>
        <v/>
      </c>
      <c r="F232" s="55" t="str">
        <f t="shared" si="13"/>
        <v/>
      </c>
      <c r="G232" s="55" t="str">
        <f t="shared" si="14"/>
        <v/>
      </c>
    </row>
    <row r="233" spans="1:7" ht="15" x14ac:dyDescent="0.2">
      <c r="A233" s="79"/>
      <c r="B233" s="79"/>
      <c r="C233" s="79"/>
      <c r="D233" s="55" t="str">
        <f t="shared" si="12"/>
        <v/>
      </c>
      <c r="E233" s="56" t="str">
        <f t="shared" si="15"/>
        <v/>
      </c>
      <c r="F233" s="55" t="str">
        <f t="shared" si="13"/>
        <v/>
      </c>
      <c r="G233" s="55" t="str">
        <f t="shared" si="14"/>
        <v/>
      </c>
    </row>
    <row r="234" spans="1:7" ht="15" x14ac:dyDescent="0.2">
      <c r="A234" s="79"/>
      <c r="B234" s="79"/>
      <c r="C234" s="79"/>
      <c r="D234" s="55" t="str">
        <f t="shared" si="12"/>
        <v/>
      </c>
      <c r="E234" s="56" t="str">
        <f t="shared" si="15"/>
        <v/>
      </c>
      <c r="F234" s="55" t="str">
        <f t="shared" si="13"/>
        <v/>
      </c>
      <c r="G234" s="55" t="str">
        <f t="shared" si="14"/>
        <v/>
      </c>
    </row>
    <row r="235" spans="1:7" ht="15" x14ac:dyDescent="0.2">
      <c r="A235" s="79"/>
      <c r="B235" s="79"/>
      <c r="C235" s="79"/>
      <c r="D235" s="55" t="str">
        <f t="shared" si="12"/>
        <v/>
      </c>
      <c r="E235" s="56" t="str">
        <f t="shared" si="15"/>
        <v/>
      </c>
      <c r="F235" s="55" t="str">
        <f t="shared" si="13"/>
        <v/>
      </c>
      <c r="G235" s="55" t="str">
        <f t="shared" si="14"/>
        <v/>
      </c>
    </row>
    <row r="236" spans="1:7" ht="15" x14ac:dyDescent="0.2">
      <c r="A236" s="79"/>
      <c r="B236" s="79"/>
      <c r="C236" s="79"/>
      <c r="D236" s="55" t="str">
        <f t="shared" si="12"/>
        <v/>
      </c>
      <c r="E236" s="56" t="str">
        <f t="shared" si="15"/>
        <v/>
      </c>
      <c r="F236" s="55" t="str">
        <f t="shared" si="13"/>
        <v/>
      </c>
      <c r="G236" s="55" t="str">
        <f t="shared" si="14"/>
        <v/>
      </c>
    </row>
    <row r="237" spans="1:7" ht="15" x14ac:dyDescent="0.2">
      <c r="A237" s="79"/>
      <c r="B237" s="79"/>
      <c r="C237" s="79"/>
      <c r="D237" s="55" t="str">
        <f t="shared" si="12"/>
        <v/>
      </c>
      <c r="E237" s="56" t="str">
        <f t="shared" si="15"/>
        <v/>
      </c>
      <c r="F237" s="55" t="str">
        <f t="shared" si="13"/>
        <v/>
      </c>
      <c r="G237" s="55" t="str">
        <f t="shared" si="14"/>
        <v/>
      </c>
    </row>
    <row r="238" spans="1:7" ht="15" x14ac:dyDescent="0.2">
      <c r="A238" s="79"/>
      <c r="B238" s="79"/>
      <c r="C238" s="79"/>
      <c r="D238" s="55" t="str">
        <f t="shared" si="12"/>
        <v/>
      </c>
      <c r="E238" s="56" t="str">
        <f t="shared" si="15"/>
        <v/>
      </c>
      <c r="F238" s="55" t="str">
        <f t="shared" si="13"/>
        <v/>
      </c>
      <c r="G238" s="55" t="str">
        <f t="shared" si="14"/>
        <v/>
      </c>
    </row>
    <row r="239" spans="1:7" ht="15" x14ac:dyDescent="0.2">
      <c r="A239" s="79"/>
      <c r="B239" s="79"/>
      <c r="C239" s="79"/>
      <c r="D239" s="55" t="str">
        <f t="shared" si="12"/>
        <v/>
      </c>
      <c r="E239" s="56" t="str">
        <f t="shared" si="15"/>
        <v/>
      </c>
      <c r="F239" s="55" t="str">
        <f t="shared" si="13"/>
        <v/>
      </c>
      <c r="G239" s="55" t="str">
        <f t="shared" si="14"/>
        <v/>
      </c>
    </row>
    <row r="240" spans="1:7" ht="15" x14ac:dyDescent="0.2">
      <c r="A240" s="79"/>
      <c r="B240" s="79"/>
      <c r="C240" s="79"/>
      <c r="D240" s="55" t="str">
        <f t="shared" si="12"/>
        <v/>
      </c>
      <c r="E240" s="56" t="str">
        <f t="shared" si="15"/>
        <v/>
      </c>
      <c r="F240" s="55" t="str">
        <f t="shared" si="13"/>
        <v/>
      </c>
      <c r="G240" s="55" t="str">
        <f t="shared" si="14"/>
        <v/>
      </c>
    </row>
    <row r="241" spans="1:7" ht="15" x14ac:dyDescent="0.2">
      <c r="A241" s="79"/>
      <c r="B241" s="79"/>
      <c r="C241" s="79"/>
      <c r="D241" s="55" t="str">
        <f t="shared" si="12"/>
        <v/>
      </c>
      <c r="E241" s="56" t="str">
        <f t="shared" si="15"/>
        <v/>
      </c>
      <c r="F241" s="55" t="str">
        <f t="shared" si="13"/>
        <v/>
      </c>
      <c r="G241" s="55" t="str">
        <f t="shared" si="14"/>
        <v/>
      </c>
    </row>
    <row r="242" spans="1:7" ht="15" customHeight="1" x14ac:dyDescent="0.2">
      <c r="A242" s="79"/>
      <c r="B242" s="79"/>
      <c r="C242" s="79"/>
      <c r="D242" s="55" t="str">
        <f t="shared" si="12"/>
        <v/>
      </c>
      <c r="E242" s="56" t="str">
        <f t="shared" si="15"/>
        <v/>
      </c>
      <c r="F242" s="55" t="str">
        <f t="shared" si="13"/>
        <v/>
      </c>
      <c r="G242" s="55" t="str">
        <f t="shared" si="14"/>
        <v/>
      </c>
    </row>
    <row r="243" spans="1:7" ht="15" x14ac:dyDescent="0.2">
      <c r="A243" s="79"/>
      <c r="B243" s="79"/>
      <c r="C243" s="79"/>
      <c r="D243" s="55" t="str">
        <f t="shared" si="12"/>
        <v/>
      </c>
      <c r="E243" s="56" t="str">
        <f t="shared" si="15"/>
        <v/>
      </c>
      <c r="F243" s="55" t="str">
        <f t="shared" si="13"/>
        <v/>
      </c>
      <c r="G243" s="55" t="str">
        <f t="shared" si="14"/>
        <v/>
      </c>
    </row>
    <row r="244" spans="1:7" ht="15" x14ac:dyDescent="0.2">
      <c r="A244" s="79"/>
      <c r="B244" s="79"/>
      <c r="C244" s="79"/>
      <c r="D244" s="55" t="str">
        <f t="shared" si="12"/>
        <v/>
      </c>
      <c r="E244" s="56" t="str">
        <f t="shared" si="15"/>
        <v/>
      </c>
      <c r="F244" s="55" t="str">
        <f t="shared" si="13"/>
        <v/>
      </c>
      <c r="G244" s="55" t="str">
        <f t="shared" si="14"/>
        <v/>
      </c>
    </row>
    <row r="245" spans="1:7" ht="15" x14ac:dyDescent="0.2">
      <c r="A245" s="79"/>
      <c r="B245" s="79"/>
      <c r="C245" s="79"/>
      <c r="D245" s="55" t="str">
        <f t="shared" si="12"/>
        <v/>
      </c>
      <c r="E245" s="56" t="str">
        <f t="shared" si="15"/>
        <v/>
      </c>
      <c r="F245" s="55" t="str">
        <f t="shared" si="13"/>
        <v/>
      </c>
      <c r="G245" s="55" t="str">
        <f t="shared" si="14"/>
        <v/>
      </c>
    </row>
    <row r="246" spans="1:7" ht="15" x14ac:dyDescent="0.2">
      <c r="A246" s="79"/>
      <c r="B246" s="79"/>
      <c r="C246" s="79"/>
      <c r="D246" s="55" t="str">
        <f t="shared" si="12"/>
        <v/>
      </c>
      <c r="E246" s="56" t="str">
        <f t="shared" si="15"/>
        <v/>
      </c>
      <c r="F246" s="55" t="str">
        <f t="shared" si="13"/>
        <v/>
      </c>
      <c r="G246" s="55" t="str">
        <f t="shared" si="14"/>
        <v/>
      </c>
    </row>
    <row r="247" spans="1:7" ht="15" x14ac:dyDescent="0.2">
      <c r="A247" s="79"/>
      <c r="B247" s="79"/>
      <c r="C247" s="79"/>
      <c r="D247" s="55" t="str">
        <f t="shared" si="12"/>
        <v/>
      </c>
      <c r="E247" s="56" t="str">
        <f t="shared" si="15"/>
        <v/>
      </c>
      <c r="F247" s="55" t="str">
        <f t="shared" si="13"/>
        <v/>
      </c>
      <c r="G247" s="55" t="str">
        <f t="shared" si="14"/>
        <v/>
      </c>
    </row>
    <row r="248" spans="1:7" ht="15" x14ac:dyDescent="0.2">
      <c r="A248" s="79"/>
      <c r="B248" s="79"/>
      <c r="C248" s="79"/>
      <c r="D248" s="55" t="str">
        <f t="shared" si="12"/>
        <v/>
      </c>
      <c r="E248" s="56" t="str">
        <f t="shared" si="15"/>
        <v/>
      </c>
      <c r="F248" s="55" t="str">
        <f t="shared" si="13"/>
        <v/>
      </c>
      <c r="G248" s="55" t="str">
        <f t="shared" si="14"/>
        <v/>
      </c>
    </row>
    <row r="249" spans="1:7" ht="15" x14ac:dyDescent="0.2">
      <c r="A249" s="79"/>
      <c r="B249" s="79"/>
      <c r="C249" s="79"/>
      <c r="D249" s="55" t="str">
        <f t="shared" si="12"/>
        <v/>
      </c>
      <c r="E249" s="56" t="str">
        <f t="shared" si="15"/>
        <v/>
      </c>
      <c r="F249" s="55" t="str">
        <f t="shared" si="13"/>
        <v/>
      </c>
      <c r="G249" s="55" t="str">
        <f t="shared" si="14"/>
        <v/>
      </c>
    </row>
    <row r="250" spans="1:7" ht="15" x14ac:dyDescent="0.2">
      <c r="A250" s="79"/>
      <c r="B250" s="79"/>
      <c r="C250" s="79"/>
      <c r="D250" s="55" t="str">
        <f t="shared" si="12"/>
        <v/>
      </c>
      <c r="E250" s="56" t="str">
        <f t="shared" si="15"/>
        <v/>
      </c>
      <c r="F250" s="55" t="str">
        <f t="shared" si="13"/>
        <v/>
      </c>
      <c r="G250" s="55" t="str">
        <f t="shared" si="14"/>
        <v/>
      </c>
    </row>
    <row r="251" spans="1:7" ht="15" x14ac:dyDescent="0.2">
      <c r="A251" s="79"/>
      <c r="B251" s="79"/>
      <c r="C251" s="79"/>
      <c r="D251" s="55" t="str">
        <f t="shared" si="12"/>
        <v/>
      </c>
      <c r="E251" s="56" t="str">
        <f t="shared" si="15"/>
        <v/>
      </c>
      <c r="F251" s="55" t="str">
        <f t="shared" si="13"/>
        <v/>
      </c>
      <c r="G251" s="55" t="str">
        <f t="shared" si="14"/>
        <v/>
      </c>
    </row>
    <row r="252" spans="1:7" ht="15" x14ac:dyDescent="0.2">
      <c r="A252" s="79"/>
      <c r="B252" s="79"/>
      <c r="C252" s="79"/>
      <c r="D252" s="55" t="str">
        <f t="shared" si="12"/>
        <v/>
      </c>
      <c r="E252" s="56" t="str">
        <f t="shared" si="15"/>
        <v/>
      </c>
      <c r="F252" s="55" t="str">
        <f t="shared" si="13"/>
        <v/>
      </c>
      <c r="G252" s="55" t="str">
        <f t="shared" si="14"/>
        <v/>
      </c>
    </row>
    <row r="253" spans="1:7" ht="15" x14ac:dyDescent="0.2">
      <c r="A253" s="79"/>
      <c r="B253" s="79"/>
      <c r="C253" s="79"/>
      <c r="D253" s="55" t="str">
        <f t="shared" si="12"/>
        <v/>
      </c>
      <c r="E253" s="56" t="str">
        <f t="shared" si="15"/>
        <v/>
      </c>
      <c r="F253" s="55" t="str">
        <f t="shared" si="13"/>
        <v/>
      </c>
      <c r="G253" s="55" t="str">
        <f t="shared" si="14"/>
        <v/>
      </c>
    </row>
    <row r="254" spans="1:7" ht="15" x14ac:dyDescent="0.2">
      <c r="A254" s="79"/>
      <c r="B254" s="79"/>
      <c r="C254" s="79"/>
      <c r="D254" s="55" t="str">
        <f t="shared" si="12"/>
        <v/>
      </c>
      <c r="E254" s="56" t="str">
        <f t="shared" si="15"/>
        <v/>
      </c>
      <c r="F254" s="55" t="str">
        <f t="shared" si="13"/>
        <v/>
      </c>
      <c r="G254" s="55" t="str">
        <f t="shared" si="14"/>
        <v/>
      </c>
    </row>
    <row r="255" spans="1:7" ht="15" x14ac:dyDescent="0.2">
      <c r="A255" s="79"/>
      <c r="B255" s="79"/>
      <c r="C255" s="79"/>
      <c r="D255" s="55" t="str">
        <f t="shared" si="12"/>
        <v/>
      </c>
      <c r="E255" s="56" t="str">
        <f t="shared" si="15"/>
        <v/>
      </c>
      <c r="F255" s="55" t="str">
        <f t="shared" si="13"/>
        <v/>
      </c>
      <c r="G255" s="55" t="str">
        <f t="shared" si="14"/>
        <v/>
      </c>
    </row>
    <row r="256" spans="1:7" ht="15" x14ac:dyDescent="0.2">
      <c r="A256" s="79"/>
      <c r="B256" s="79"/>
      <c r="C256" s="79"/>
      <c r="D256" s="55" t="str">
        <f t="shared" si="12"/>
        <v/>
      </c>
      <c r="E256" s="56" t="str">
        <f t="shared" si="15"/>
        <v/>
      </c>
      <c r="F256" s="55" t="str">
        <f t="shared" si="13"/>
        <v/>
      </c>
      <c r="G256" s="55" t="str">
        <f t="shared" si="14"/>
        <v/>
      </c>
    </row>
    <row r="257" spans="1:7" ht="15" x14ac:dyDescent="0.2">
      <c r="A257" s="79"/>
      <c r="B257" s="79"/>
      <c r="C257" s="79"/>
      <c r="D257" s="55" t="str">
        <f t="shared" si="12"/>
        <v/>
      </c>
      <c r="E257" s="56" t="str">
        <f t="shared" si="15"/>
        <v/>
      </c>
      <c r="F257" s="55" t="str">
        <f t="shared" si="13"/>
        <v/>
      </c>
      <c r="G257" s="55" t="str">
        <f t="shared" si="14"/>
        <v/>
      </c>
    </row>
    <row r="258" spans="1:7" ht="15" x14ac:dyDescent="0.2">
      <c r="A258" s="79"/>
      <c r="B258" s="79"/>
      <c r="C258" s="79"/>
      <c r="D258" s="55" t="str">
        <f t="shared" si="12"/>
        <v/>
      </c>
      <c r="E258" s="56" t="str">
        <f t="shared" si="15"/>
        <v/>
      </c>
      <c r="F258" s="55" t="str">
        <f t="shared" si="13"/>
        <v/>
      </c>
      <c r="G258" s="55" t="str">
        <f t="shared" si="14"/>
        <v/>
      </c>
    </row>
    <row r="259" spans="1:7" ht="15" x14ac:dyDescent="0.2">
      <c r="A259" s="79"/>
      <c r="B259" s="79"/>
      <c r="C259" s="79"/>
      <c r="D259" s="55" t="str">
        <f t="shared" ref="D259:D322" si="16">IFERROR(IF(B259="","",C259-B259),"")</f>
        <v/>
      </c>
      <c r="E259" s="56" t="str">
        <f t="shared" si="15"/>
        <v/>
      </c>
      <c r="F259" s="55" t="str">
        <f t="shared" ref="F259:F322" si="17">IF(Kielivalinta="","",IF(B259="",IF(Kielivalinta="Suomi","Tieto puuttuu :"&amp;B$3,IF(Kielivalinta="Svenska","Information saknas :"&amp;B$3)),""))</f>
        <v/>
      </c>
      <c r="G259" s="55" t="str">
        <f t="shared" ref="G259:G322" si="18">IF(Kielivalinta="","",IF(C259="",IF(Kielivalinta="Suomi","Tieto puuttuu :"&amp;C$3,IF(Kielivalinta="Svenska","Information saknas :"&amp;C$3)),""))</f>
        <v/>
      </c>
    </row>
    <row r="260" spans="1:7" ht="15" x14ac:dyDescent="0.2">
      <c r="A260" s="79"/>
      <c r="B260" s="79"/>
      <c r="C260" s="79"/>
      <c r="D260" s="55" t="str">
        <f t="shared" si="16"/>
        <v/>
      </c>
      <c r="E260" s="56" t="str">
        <f t="shared" ref="E260:E323" si="19">IFERROR(IF(B260="","",IF(B260=0,"",IF(B260="","",(C260/B260)-1))),"")</f>
        <v/>
      </c>
      <c r="F260" s="55" t="str">
        <f t="shared" si="17"/>
        <v/>
      </c>
      <c r="G260" s="55" t="str">
        <f t="shared" si="18"/>
        <v/>
      </c>
    </row>
    <row r="261" spans="1:7" ht="15" x14ac:dyDescent="0.2">
      <c r="A261" s="79"/>
      <c r="B261" s="79"/>
      <c r="C261" s="79"/>
      <c r="D261" s="55" t="str">
        <f t="shared" si="16"/>
        <v/>
      </c>
      <c r="E261" s="56" t="str">
        <f t="shared" si="19"/>
        <v/>
      </c>
      <c r="F261" s="55" t="str">
        <f t="shared" si="17"/>
        <v/>
      </c>
      <c r="G261" s="55" t="str">
        <f t="shared" si="18"/>
        <v/>
      </c>
    </row>
    <row r="262" spans="1:7" ht="15" customHeight="1" x14ac:dyDescent="0.2">
      <c r="A262" s="79"/>
      <c r="B262" s="79"/>
      <c r="C262" s="79"/>
      <c r="D262" s="55" t="str">
        <f t="shared" si="16"/>
        <v/>
      </c>
      <c r="E262" s="56" t="str">
        <f t="shared" si="19"/>
        <v/>
      </c>
      <c r="F262" s="55" t="str">
        <f t="shared" si="17"/>
        <v/>
      </c>
      <c r="G262" s="55" t="str">
        <f t="shared" si="18"/>
        <v/>
      </c>
    </row>
    <row r="263" spans="1:7" ht="15" x14ac:dyDescent="0.2">
      <c r="A263" s="79"/>
      <c r="B263" s="79"/>
      <c r="C263" s="79"/>
      <c r="D263" s="55" t="str">
        <f t="shared" si="16"/>
        <v/>
      </c>
      <c r="E263" s="56" t="str">
        <f t="shared" si="19"/>
        <v/>
      </c>
      <c r="F263" s="55" t="str">
        <f t="shared" si="17"/>
        <v/>
      </c>
      <c r="G263" s="55" t="str">
        <f t="shared" si="18"/>
        <v/>
      </c>
    </row>
    <row r="264" spans="1:7" ht="15" x14ac:dyDescent="0.2">
      <c r="A264" s="79"/>
      <c r="B264" s="79"/>
      <c r="C264" s="79"/>
      <c r="D264" s="55" t="str">
        <f t="shared" si="16"/>
        <v/>
      </c>
      <c r="E264" s="56" t="str">
        <f t="shared" si="19"/>
        <v/>
      </c>
      <c r="F264" s="55" t="str">
        <f t="shared" si="17"/>
        <v/>
      </c>
      <c r="G264" s="55" t="str">
        <f t="shared" si="18"/>
        <v/>
      </c>
    </row>
    <row r="265" spans="1:7" ht="15" x14ac:dyDescent="0.2">
      <c r="A265" s="79"/>
      <c r="B265" s="79"/>
      <c r="C265" s="79"/>
      <c r="D265" s="55" t="str">
        <f t="shared" si="16"/>
        <v/>
      </c>
      <c r="E265" s="56" t="str">
        <f t="shared" si="19"/>
        <v/>
      </c>
      <c r="F265" s="55" t="str">
        <f t="shared" si="17"/>
        <v/>
      </c>
      <c r="G265" s="55" t="str">
        <f t="shared" si="18"/>
        <v/>
      </c>
    </row>
    <row r="266" spans="1:7" ht="15" x14ac:dyDescent="0.2">
      <c r="A266" s="79"/>
      <c r="B266" s="79"/>
      <c r="C266" s="79"/>
      <c r="D266" s="55" t="str">
        <f t="shared" si="16"/>
        <v/>
      </c>
      <c r="E266" s="56" t="str">
        <f t="shared" si="19"/>
        <v/>
      </c>
      <c r="F266" s="55" t="str">
        <f t="shared" si="17"/>
        <v/>
      </c>
      <c r="G266" s="55" t="str">
        <f t="shared" si="18"/>
        <v/>
      </c>
    </row>
    <row r="267" spans="1:7" ht="15" x14ac:dyDescent="0.2">
      <c r="A267" s="79"/>
      <c r="B267" s="79"/>
      <c r="C267" s="79"/>
      <c r="D267" s="55" t="str">
        <f t="shared" si="16"/>
        <v/>
      </c>
      <c r="E267" s="56" t="str">
        <f t="shared" si="19"/>
        <v/>
      </c>
      <c r="F267" s="55" t="str">
        <f t="shared" si="17"/>
        <v/>
      </c>
      <c r="G267" s="55" t="str">
        <f t="shared" si="18"/>
        <v/>
      </c>
    </row>
    <row r="268" spans="1:7" ht="15" x14ac:dyDescent="0.2">
      <c r="A268" s="79"/>
      <c r="B268" s="79"/>
      <c r="C268" s="79"/>
      <c r="D268" s="55" t="str">
        <f t="shared" si="16"/>
        <v/>
      </c>
      <c r="E268" s="56" t="str">
        <f t="shared" si="19"/>
        <v/>
      </c>
      <c r="F268" s="55" t="str">
        <f t="shared" si="17"/>
        <v/>
      </c>
      <c r="G268" s="55" t="str">
        <f t="shared" si="18"/>
        <v/>
      </c>
    </row>
    <row r="269" spans="1:7" ht="15" x14ac:dyDescent="0.2">
      <c r="A269" s="79"/>
      <c r="B269" s="79"/>
      <c r="C269" s="79"/>
      <c r="D269" s="55" t="str">
        <f t="shared" si="16"/>
        <v/>
      </c>
      <c r="E269" s="56" t="str">
        <f t="shared" si="19"/>
        <v/>
      </c>
      <c r="F269" s="55" t="str">
        <f t="shared" si="17"/>
        <v/>
      </c>
      <c r="G269" s="55" t="str">
        <f t="shared" si="18"/>
        <v/>
      </c>
    </row>
    <row r="270" spans="1:7" ht="15" x14ac:dyDescent="0.2">
      <c r="A270" s="79"/>
      <c r="B270" s="79"/>
      <c r="C270" s="79"/>
      <c r="D270" s="55" t="str">
        <f t="shared" si="16"/>
        <v/>
      </c>
      <c r="E270" s="56" t="str">
        <f t="shared" si="19"/>
        <v/>
      </c>
      <c r="F270" s="55" t="str">
        <f t="shared" si="17"/>
        <v/>
      </c>
      <c r="G270" s="55" t="str">
        <f t="shared" si="18"/>
        <v/>
      </c>
    </row>
    <row r="271" spans="1:7" ht="15" x14ac:dyDescent="0.2">
      <c r="A271" s="79"/>
      <c r="B271" s="79"/>
      <c r="C271" s="79"/>
      <c r="D271" s="55" t="str">
        <f t="shared" si="16"/>
        <v/>
      </c>
      <c r="E271" s="56" t="str">
        <f t="shared" si="19"/>
        <v/>
      </c>
      <c r="F271" s="55" t="str">
        <f t="shared" si="17"/>
        <v/>
      </c>
      <c r="G271" s="55" t="str">
        <f t="shared" si="18"/>
        <v/>
      </c>
    </row>
    <row r="272" spans="1:7" ht="15" x14ac:dyDescent="0.2">
      <c r="A272" s="79"/>
      <c r="B272" s="79"/>
      <c r="C272" s="79"/>
      <c r="D272" s="55" t="str">
        <f t="shared" si="16"/>
        <v/>
      </c>
      <c r="E272" s="56" t="str">
        <f t="shared" si="19"/>
        <v/>
      </c>
      <c r="F272" s="55" t="str">
        <f t="shared" si="17"/>
        <v/>
      </c>
      <c r="G272" s="55" t="str">
        <f t="shared" si="18"/>
        <v/>
      </c>
    </row>
    <row r="273" spans="1:7" ht="15" x14ac:dyDescent="0.2">
      <c r="A273" s="79"/>
      <c r="B273" s="79"/>
      <c r="C273" s="79"/>
      <c r="D273" s="55" t="str">
        <f t="shared" si="16"/>
        <v/>
      </c>
      <c r="E273" s="56" t="str">
        <f t="shared" si="19"/>
        <v/>
      </c>
      <c r="F273" s="55" t="str">
        <f t="shared" si="17"/>
        <v/>
      </c>
      <c r="G273" s="55" t="str">
        <f t="shared" si="18"/>
        <v/>
      </c>
    </row>
    <row r="274" spans="1:7" ht="15" x14ac:dyDescent="0.2">
      <c r="A274" s="79"/>
      <c r="B274" s="79"/>
      <c r="C274" s="79"/>
      <c r="D274" s="55" t="str">
        <f t="shared" si="16"/>
        <v/>
      </c>
      <c r="E274" s="56" t="str">
        <f t="shared" si="19"/>
        <v/>
      </c>
      <c r="F274" s="55" t="str">
        <f t="shared" si="17"/>
        <v/>
      </c>
      <c r="G274" s="55" t="str">
        <f t="shared" si="18"/>
        <v/>
      </c>
    </row>
    <row r="275" spans="1:7" ht="15" x14ac:dyDescent="0.2">
      <c r="A275" s="79"/>
      <c r="B275" s="79"/>
      <c r="C275" s="79"/>
      <c r="D275" s="55" t="str">
        <f t="shared" si="16"/>
        <v/>
      </c>
      <c r="E275" s="56" t="str">
        <f t="shared" si="19"/>
        <v/>
      </c>
      <c r="F275" s="55" t="str">
        <f t="shared" si="17"/>
        <v/>
      </c>
      <c r="G275" s="55" t="str">
        <f t="shared" si="18"/>
        <v/>
      </c>
    </row>
    <row r="276" spans="1:7" ht="15" x14ac:dyDescent="0.2">
      <c r="A276" s="79"/>
      <c r="B276" s="79"/>
      <c r="C276" s="79"/>
      <c r="D276" s="55" t="str">
        <f t="shared" si="16"/>
        <v/>
      </c>
      <c r="E276" s="56" t="str">
        <f t="shared" si="19"/>
        <v/>
      </c>
      <c r="F276" s="55" t="str">
        <f t="shared" si="17"/>
        <v/>
      </c>
      <c r="G276" s="55" t="str">
        <f t="shared" si="18"/>
        <v/>
      </c>
    </row>
    <row r="277" spans="1:7" ht="15" customHeight="1" x14ac:dyDescent="0.2">
      <c r="A277" s="79"/>
      <c r="B277" s="79"/>
      <c r="C277" s="79"/>
      <c r="D277" s="55" t="str">
        <f t="shared" si="16"/>
        <v/>
      </c>
      <c r="E277" s="56" t="str">
        <f t="shared" si="19"/>
        <v/>
      </c>
      <c r="F277" s="55" t="str">
        <f t="shared" si="17"/>
        <v/>
      </c>
      <c r="G277" s="55" t="str">
        <f t="shared" si="18"/>
        <v/>
      </c>
    </row>
    <row r="278" spans="1:7" ht="15" x14ac:dyDescent="0.2">
      <c r="A278" s="79"/>
      <c r="B278" s="79"/>
      <c r="C278" s="79"/>
      <c r="D278" s="55" t="str">
        <f t="shared" si="16"/>
        <v/>
      </c>
      <c r="E278" s="56" t="str">
        <f t="shared" si="19"/>
        <v/>
      </c>
      <c r="F278" s="55" t="str">
        <f t="shared" si="17"/>
        <v/>
      </c>
      <c r="G278" s="55" t="str">
        <f t="shared" si="18"/>
        <v/>
      </c>
    </row>
    <row r="279" spans="1:7" ht="15" x14ac:dyDescent="0.2">
      <c r="A279" s="79"/>
      <c r="B279" s="79"/>
      <c r="C279" s="79"/>
      <c r="D279" s="55" t="str">
        <f t="shared" si="16"/>
        <v/>
      </c>
      <c r="E279" s="56" t="str">
        <f t="shared" si="19"/>
        <v/>
      </c>
      <c r="F279" s="55" t="str">
        <f t="shared" si="17"/>
        <v/>
      </c>
      <c r="G279" s="55" t="str">
        <f t="shared" si="18"/>
        <v/>
      </c>
    </row>
    <row r="280" spans="1:7" ht="15" x14ac:dyDescent="0.2">
      <c r="A280" s="79"/>
      <c r="B280" s="79"/>
      <c r="C280" s="79"/>
      <c r="D280" s="55" t="str">
        <f t="shared" si="16"/>
        <v/>
      </c>
      <c r="E280" s="56" t="str">
        <f t="shared" si="19"/>
        <v/>
      </c>
      <c r="F280" s="55" t="str">
        <f t="shared" si="17"/>
        <v/>
      </c>
      <c r="G280" s="55" t="str">
        <f t="shared" si="18"/>
        <v/>
      </c>
    </row>
    <row r="281" spans="1:7" ht="15" x14ac:dyDescent="0.2">
      <c r="A281" s="79"/>
      <c r="B281" s="79"/>
      <c r="C281" s="79"/>
      <c r="D281" s="55" t="str">
        <f t="shared" si="16"/>
        <v/>
      </c>
      <c r="E281" s="56" t="str">
        <f t="shared" si="19"/>
        <v/>
      </c>
      <c r="F281" s="55" t="str">
        <f t="shared" si="17"/>
        <v/>
      </c>
      <c r="G281" s="55" t="str">
        <f t="shared" si="18"/>
        <v/>
      </c>
    </row>
    <row r="282" spans="1:7" ht="15" x14ac:dyDescent="0.2">
      <c r="A282" s="79"/>
      <c r="B282" s="79"/>
      <c r="C282" s="79"/>
      <c r="D282" s="55" t="str">
        <f t="shared" si="16"/>
        <v/>
      </c>
      <c r="E282" s="56" t="str">
        <f t="shared" si="19"/>
        <v/>
      </c>
      <c r="F282" s="55" t="str">
        <f t="shared" si="17"/>
        <v/>
      </c>
      <c r="G282" s="55" t="str">
        <f t="shared" si="18"/>
        <v/>
      </c>
    </row>
    <row r="283" spans="1:7" ht="15" x14ac:dyDescent="0.2">
      <c r="A283" s="79"/>
      <c r="B283" s="79"/>
      <c r="C283" s="79"/>
      <c r="D283" s="55" t="str">
        <f t="shared" si="16"/>
        <v/>
      </c>
      <c r="E283" s="56" t="str">
        <f t="shared" si="19"/>
        <v/>
      </c>
      <c r="F283" s="55" t="str">
        <f t="shared" si="17"/>
        <v/>
      </c>
      <c r="G283" s="55" t="str">
        <f t="shared" si="18"/>
        <v/>
      </c>
    </row>
    <row r="284" spans="1:7" ht="15" x14ac:dyDescent="0.2">
      <c r="A284" s="79"/>
      <c r="B284" s="79"/>
      <c r="C284" s="79"/>
      <c r="D284" s="55" t="str">
        <f t="shared" si="16"/>
        <v/>
      </c>
      <c r="E284" s="56" t="str">
        <f t="shared" si="19"/>
        <v/>
      </c>
      <c r="F284" s="55" t="str">
        <f t="shared" si="17"/>
        <v/>
      </c>
      <c r="G284" s="55" t="str">
        <f t="shared" si="18"/>
        <v/>
      </c>
    </row>
    <row r="285" spans="1:7" ht="15" x14ac:dyDescent="0.2">
      <c r="A285" s="79"/>
      <c r="B285" s="79"/>
      <c r="C285" s="79"/>
      <c r="D285" s="55" t="str">
        <f t="shared" si="16"/>
        <v/>
      </c>
      <c r="E285" s="56" t="str">
        <f t="shared" si="19"/>
        <v/>
      </c>
      <c r="F285" s="55" t="str">
        <f t="shared" si="17"/>
        <v/>
      </c>
      <c r="G285" s="55" t="str">
        <f t="shared" si="18"/>
        <v/>
      </c>
    </row>
    <row r="286" spans="1:7" ht="15" x14ac:dyDescent="0.2">
      <c r="A286" s="79"/>
      <c r="B286" s="79"/>
      <c r="C286" s="79"/>
      <c r="D286" s="55" t="str">
        <f t="shared" si="16"/>
        <v/>
      </c>
      <c r="E286" s="56" t="str">
        <f t="shared" si="19"/>
        <v/>
      </c>
      <c r="F286" s="55" t="str">
        <f t="shared" si="17"/>
        <v/>
      </c>
      <c r="G286" s="55" t="str">
        <f t="shared" si="18"/>
        <v/>
      </c>
    </row>
    <row r="287" spans="1:7" ht="15" x14ac:dyDescent="0.2">
      <c r="A287" s="79"/>
      <c r="B287" s="79"/>
      <c r="C287" s="79"/>
      <c r="D287" s="55" t="str">
        <f t="shared" si="16"/>
        <v/>
      </c>
      <c r="E287" s="56" t="str">
        <f t="shared" si="19"/>
        <v/>
      </c>
      <c r="F287" s="55" t="str">
        <f t="shared" si="17"/>
        <v/>
      </c>
      <c r="G287" s="55" t="str">
        <f t="shared" si="18"/>
        <v/>
      </c>
    </row>
    <row r="288" spans="1:7" ht="15" x14ac:dyDescent="0.2">
      <c r="A288" s="79"/>
      <c r="B288" s="79"/>
      <c r="C288" s="79"/>
      <c r="D288" s="55" t="str">
        <f t="shared" si="16"/>
        <v/>
      </c>
      <c r="E288" s="56" t="str">
        <f t="shared" si="19"/>
        <v/>
      </c>
      <c r="F288" s="55" t="str">
        <f t="shared" si="17"/>
        <v/>
      </c>
      <c r="G288" s="55" t="str">
        <f t="shared" si="18"/>
        <v/>
      </c>
    </row>
    <row r="289" spans="1:7" ht="15" x14ac:dyDescent="0.2">
      <c r="A289" s="79"/>
      <c r="B289" s="79"/>
      <c r="C289" s="79"/>
      <c r="D289" s="55" t="str">
        <f t="shared" si="16"/>
        <v/>
      </c>
      <c r="E289" s="56" t="str">
        <f t="shared" si="19"/>
        <v/>
      </c>
      <c r="F289" s="55" t="str">
        <f t="shared" si="17"/>
        <v/>
      </c>
      <c r="G289" s="55" t="str">
        <f t="shared" si="18"/>
        <v/>
      </c>
    </row>
    <row r="290" spans="1:7" ht="15" x14ac:dyDescent="0.2">
      <c r="A290" s="79"/>
      <c r="B290" s="79"/>
      <c r="C290" s="79"/>
      <c r="D290" s="55" t="str">
        <f t="shared" si="16"/>
        <v/>
      </c>
      <c r="E290" s="56" t="str">
        <f t="shared" si="19"/>
        <v/>
      </c>
      <c r="F290" s="55" t="str">
        <f t="shared" si="17"/>
        <v/>
      </c>
      <c r="G290" s="55" t="str">
        <f t="shared" si="18"/>
        <v/>
      </c>
    </row>
    <row r="291" spans="1:7" ht="15" x14ac:dyDescent="0.2">
      <c r="A291" s="79"/>
      <c r="B291" s="79"/>
      <c r="C291" s="79"/>
      <c r="D291" s="55" t="str">
        <f t="shared" si="16"/>
        <v/>
      </c>
      <c r="E291" s="56" t="str">
        <f t="shared" si="19"/>
        <v/>
      </c>
      <c r="F291" s="55" t="str">
        <f t="shared" si="17"/>
        <v/>
      </c>
      <c r="G291" s="55" t="str">
        <f t="shared" si="18"/>
        <v/>
      </c>
    </row>
    <row r="292" spans="1:7" ht="15" x14ac:dyDescent="0.2">
      <c r="A292" s="79"/>
      <c r="B292" s="79"/>
      <c r="C292" s="79"/>
      <c r="D292" s="55" t="str">
        <f t="shared" si="16"/>
        <v/>
      </c>
      <c r="E292" s="56" t="str">
        <f t="shared" si="19"/>
        <v/>
      </c>
      <c r="F292" s="55" t="str">
        <f t="shared" si="17"/>
        <v/>
      </c>
      <c r="G292" s="55" t="str">
        <f t="shared" si="18"/>
        <v/>
      </c>
    </row>
    <row r="293" spans="1:7" ht="15" customHeight="1" x14ac:dyDescent="0.2">
      <c r="A293" s="79"/>
      <c r="B293" s="79"/>
      <c r="C293" s="79"/>
      <c r="D293" s="55" t="str">
        <f t="shared" si="16"/>
        <v/>
      </c>
      <c r="E293" s="56" t="str">
        <f t="shared" si="19"/>
        <v/>
      </c>
      <c r="F293" s="55" t="str">
        <f t="shared" si="17"/>
        <v/>
      </c>
      <c r="G293" s="55" t="str">
        <f t="shared" si="18"/>
        <v/>
      </c>
    </row>
    <row r="294" spans="1:7" ht="15" x14ac:dyDescent="0.2">
      <c r="A294" s="79"/>
      <c r="B294" s="79"/>
      <c r="C294" s="79"/>
      <c r="D294" s="55" t="str">
        <f t="shared" si="16"/>
        <v/>
      </c>
      <c r="E294" s="56" t="str">
        <f t="shared" si="19"/>
        <v/>
      </c>
      <c r="F294" s="55" t="str">
        <f t="shared" si="17"/>
        <v/>
      </c>
      <c r="G294" s="55" t="str">
        <f t="shared" si="18"/>
        <v/>
      </c>
    </row>
    <row r="295" spans="1:7" ht="15" x14ac:dyDescent="0.2">
      <c r="A295" s="79"/>
      <c r="B295" s="79"/>
      <c r="C295" s="79"/>
      <c r="D295" s="55" t="str">
        <f t="shared" si="16"/>
        <v/>
      </c>
      <c r="E295" s="56" t="str">
        <f t="shared" si="19"/>
        <v/>
      </c>
      <c r="F295" s="55" t="str">
        <f t="shared" si="17"/>
        <v/>
      </c>
      <c r="G295" s="55" t="str">
        <f t="shared" si="18"/>
        <v/>
      </c>
    </row>
    <row r="296" spans="1:7" ht="15" x14ac:dyDescent="0.2">
      <c r="A296" s="79"/>
      <c r="B296" s="79"/>
      <c r="C296" s="79"/>
      <c r="D296" s="55" t="str">
        <f t="shared" si="16"/>
        <v/>
      </c>
      <c r="E296" s="56" t="str">
        <f t="shared" si="19"/>
        <v/>
      </c>
      <c r="F296" s="55" t="str">
        <f t="shared" si="17"/>
        <v/>
      </c>
      <c r="G296" s="55" t="str">
        <f t="shared" si="18"/>
        <v/>
      </c>
    </row>
    <row r="297" spans="1:7" ht="15" x14ac:dyDescent="0.2">
      <c r="A297" s="79"/>
      <c r="B297" s="79"/>
      <c r="C297" s="79"/>
      <c r="D297" s="55" t="str">
        <f t="shared" si="16"/>
        <v/>
      </c>
      <c r="E297" s="56" t="str">
        <f t="shared" si="19"/>
        <v/>
      </c>
      <c r="F297" s="55" t="str">
        <f t="shared" si="17"/>
        <v/>
      </c>
      <c r="G297" s="55" t="str">
        <f t="shared" si="18"/>
        <v/>
      </c>
    </row>
    <row r="298" spans="1:7" ht="15" x14ac:dyDescent="0.2">
      <c r="A298" s="79"/>
      <c r="B298" s="79"/>
      <c r="C298" s="79"/>
      <c r="D298" s="55" t="str">
        <f t="shared" si="16"/>
        <v/>
      </c>
      <c r="E298" s="56" t="str">
        <f t="shared" si="19"/>
        <v/>
      </c>
      <c r="F298" s="55" t="str">
        <f t="shared" si="17"/>
        <v/>
      </c>
      <c r="G298" s="55" t="str">
        <f t="shared" si="18"/>
        <v/>
      </c>
    </row>
    <row r="299" spans="1:7" ht="15" x14ac:dyDescent="0.2">
      <c r="A299" s="79"/>
      <c r="B299" s="79"/>
      <c r="C299" s="79"/>
      <c r="D299" s="55" t="str">
        <f t="shared" si="16"/>
        <v/>
      </c>
      <c r="E299" s="56" t="str">
        <f t="shared" si="19"/>
        <v/>
      </c>
      <c r="F299" s="55" t="str">
        <f t="shared" si="17"/>
        <v/>
      </c>
      <c r="G299" s="55" t="str">
        <f t="shared" si="18"/>
        <v/>
      </c>
    </row>
    <row r="300" spans="1:7" ht="15" x14ac:dyDescent="0.2">
      <c r="A300" s="79"/>
      <c r="B300" s="79"/>
      <c r="C300" s="79"/>
      <c r="D300" s="55" t="str">
        <f t="shared" si="16"/>
        <v/>
      </c>
      <c r="E300" s="56" t="str">
        <f t="shared" si="19"/>
        <v/>
      </c>
      <c r="F300" s="55" t="str">
        <f t="shared" si="17"/>
        <v/>
      </c>
      <c r="G300" s="55" t="str">
        <f t="shared" si="18"/>
        <v/>
      </c>
    </row>
    <row r="301" spans="1:7" ht="15" x14ac:dyDescent="0.2">
      <c r="A301" s="79"/>
      <c r="B301" s="79"/>
      <c r="C301" s="79"/>
      <c r="D301" s="55" t="str">
        <f t="shared" si="16"/>
        <v/>
      </c>
      <c r="E301" s="56" t="str">
        <f t="shared" si="19"/>
        <v/>
      </c>
      <c r="F301" s="55" t="str">
        <f t="shared" si="17"/>
        <v/>
      </c>
      <c r="G301" s="55" t="str">
        <f t="shared" si="18"/>
        <v/>
      </c>
    </row>
    <row r="302" spans="1:7" ht="15" x14ac:dyDescent="0.2">
      <c r="A302" s="79"/>
      <c r="B302" s="79"/>
      <c r="C302" s="79"/>
      <c r="D302" s="55" t="str">
        <f t="shared" si="16"/>
        <v/>
      </c>
      <c r="E302" s="56" t="str">
        <f t="shared" si="19"/>
        <v/>
      </c>
      <c r="F302" s="55" t="str">
        <f t="shared" si="17"/>
        <v/>
      </c>
      <c r="G302" s="55" t="str">
        <f t="shared" si="18"/>
        <v/>
      </c>
    </row>
    <row r="303" spans="1:7" ht="15" x14ac:dyDescent="0.2">
      <c r="A303" s="79"/>
      <c r="B303" s="79"/>
      <c r="C303" s="79"/>
      <c r="D303" s="55" t="str">
        <f t="shared" si="16"/>
        <v/>
      </c>
      <c r="E303" s="56" t="str">
        <f t="shared" si="19"/>
        <v/>
      </c>
      <c r="F303" s="55" t="str">
        <f t="shared" si="17"/>
        <v/>
      </c>
      <c r="G303" s="55" t="str">
        <f t="shared" si="18"/>
        <v/>
      </c>
    </row>
    <row r="304" spans="1:7" ht="15" x14ac:dyDescent="0.2">
      <c r="A304" s="79"/>
      <c r="B304" s="79"/>
      <c r="C304" s="79"/>
      <c r="D304" s="55" t="str">
        <f t="shared" si="16"/>
        <v/>
      </c>
      <c r="E304" s="56" t="str">
        <f t="shared" si="19"/>
        <v/>
      </c>
      <c r="F304" s="55" t="str">
        <f t="shared" si="17"/>
        <v/>
      </c>
      <c r="G304" s="55" t="str">
        <f t="shared" si="18"/>
        <v/>
      </c>
    </row>
    <row r="305" spans="1:7" ht="15" x14ac:dyDescent="0.2">
      <c r="A305" s="79"/>
      <c r="B305" s="79"/>
      <c r="C305" s="79"/>
      <c r="D305" s="55" t="str">
        <f t="shared" si="16"/>
        <v/>
      </c>
      <c r="E305" s="56" t="str">
        <f t="shared" si="19"/>
        <v/>
      </c>
      <c r="F305" s="55" t="str">
        <f t="shared" si="17"/>
        <v/>
      </c>
      <c r="G305" s="55" t="str">
        <f t="shared" si="18"/>
        <v/>
      </c>
    </row>
    <row r="306" spans="1:7" ht="15" x14ac:dyDescent="0.2">
      <c r="A306" s="79"/>
      <c r="B306" s="79"/>
      <c r="C306" s="79"/>
      <c r="D306" s="55" t="str">
        <f t="shared" si="16"/>
        <v/>
      </c>
      <c r="E306" s="56" t="str">
        <f t="shared" si="19"/>
        <v/>
      </c>
      <c r="F306" s="55" t="str">
        <f t="shared" si="17"/>
        <v/>
      </c>
      <c r="G306" s="55" t="str">
        <f t="shared" si="18"/>
        <v/>
      </c>
    </row>
    <row r="307" spans="1:7" ht="15" x14ac:dyDescent="0.2">
      <c r="A307" s="79"/>
      <c r="B307" s="79"/>
      <c r="C307" s="79"/>
      <c r="D307" s="55" t="str">
        <f t="shared" si="16"/>
        <v/>
      </c>
      <c r="E307" s="56" t="str">
        <f t="shared" si="19"/>
        <v/>
      </c>
      <c r="F307" s="55" t="str">
        <f t="shared" si="17"/>
        <v/>
      </c>
      <c r="G307" s="55" t="str">
        <f t="shared" si="18"/>
        <v/>
      </c>
    </row>
    <row r="308" spans="1:7" ht="15" x14ac:dyDescent="0.2">
      <c r="A308" s="79"/>
      <c r="B308" s="79"/>
      <c r="C308" s="79"/>
      <c r="D308" s="55" t="str">
        <f t="shared" si="16"/>
        <v/>
      </c>
      <c r="E308" s="56" t="str">
        <f t="shared" si="19"/>
        <v/>
      </c>
      <c r="F308" s="55" t="str">
        <f t="shared" si="17"/>
        <v/>
      </c>
      <c r="G308" s="55" t="str">
        <f t="shared" si="18"/>
        <v/>
      </c>
    </row>
    <row r="309" spans="1:7" ht="15" customHeight="1" x14ac:dyDescent="0.2">
      <c r="A309" s="79"/>
      <c r="B309" s="79"/>
      <c r="C309" s="79"/>
      <c r="D309" s="55" t="str">
        <f t="shared" si="16"/>
        <v/>
      </c>
      <c r="E309" s="56" t="str">
        <f t="shared" si="19"/>
        <v/>
      </c>
      <c r="F309" s="55" t="str">
        <f t="shared" si="17"/>
        <v/>
      </c>
      <c r="G309" s="55" t="str">
        <f t="shared" si="18"/>
        <v/>
      </c>
    </row>
    <row r="310" spans="1:7" ht="15" x14ac:dyDescent="0.2">
      <c r="A310" s="79"/>
      <c r="B310" s="79"/>
      <c r="C310" s="79"/>
      <c r="D310" s="55" t="str">
        <f t="shared" si="16"/>
        <v/>
      </c>
      <c r="E310" s="56" t="str">
        <f t="shared" si="19"/>
        <v/>
      </c>
      <c r="F310" s="55" t="str">
        <f t="shared" si="17"/>
        <v/>
      </c>
      <c r="G310" s="55" t="str">
        <f t="shared" si="18"/>
        <v/>
      </c>
    </row>
    <row r="311" spans="1:7" ht="15" x14ac:dyDescent="0.2">
      <c r="A311" s="79"/>
      <c r="B311" s="79"/>
      <c r="C311" s="79"/>
      <c r="D311" s="55" t="str">
        <f t="shared" si="16"/>
        <v/>
      </c>
      <c r="E311" s="56" t="str">
        <f t="shared" si="19"/>
        <v/>
      </c>
      <c r="F311" s="55" t="str">
        <f t="shared" si="17"/>
        <v/>
      </c>
      <c r="G311" s="55" t="str">
        <f t="shared" si="18"/>
        <v/>
      </c>
    </row>
    <row r="312" spans="1:7" ht="15" x14ac:dyDescent="0.2">
      <c r="A312" s="79"/>
      <c r="B312" s="79"/>
      <c r="C312" s="79"/>
      <c r="D312" s="55" t="str">
        <f t="shared" si="16"/>
        <v/>
      </c>
      <c r="E312" s="56" t="str">
        <f t="shared" si="19"/>
        <v/>
      </c>
      <c r="F312" s="55" t="str">
        <f t="shared" si="17"/>
        <v/>
      </c>
      <c r="G312" s="55" t="str">
        <f t="shared" si="18"/>
        <v/>
      </c>
    </row>
    <row r="313" spans="1:7" ht="15" x14ac:dyDescent="0.2">
      <c r="A313" s="79"/>
      <c r="B313" s="79"/>
      <c r="C313" s="79"/>
      <c r="D313" s="55" t="str">
        <f t="shared" si="16"/>
        <v/>
      </c>
      <c r="E313" s="56" t="str">
        <f t="shared" si="19"/>
        <v/>
      </c>
      <c r="F313" s="55" t="str">
        <f t="shared" si="17"/>
        <v/>
      </c>
      <c r="G313" s="55" t="str">
        <f t="shared" si="18"/>
        <v/>
      </c>
    </row>
    <row r="314" spans="1:7" ht="15" x14ac:dyDescent="0.2">
      <c r="A314" s="79"/>
      <c r="B314" s="79"/>
      <c r="C314" s="79"/>
      <c r="D314" s="55" t="str">
        <f t="shared" si="16"/>
        <v/>
      </c>
      <c r="E314" s="56" t="str">
        <f t="shared" si="19"/>
        <v/>
      </c>
      <c r="F314" s="55" t="str">
        <f t="shared" si="17"/>
        <v/>
      </c>
      <c r="G314" s="55" t="str">
        <f t="shared" si="18"/>
        <v/>
      </c>
    </row>
    <row r="315" spans="1:7" ht="15" x14ac:dyDescent="0.2">
      <c r="A315" s="79"/>
      <c r="B315" s="79"/>
      <c r="C315" s="79"/>
      <c r="D315" s="55" t="str">
        <f t="shared" si="16"/>
        <v/>
      </c>
      <c r="E315" s="56" t="str">
        <f t="shared" si="19"/>
        <v/>
      </c>
      <c r="F315" s="55" t="str">
        <f t="shared" si="17"/>
        <v/>
      </c>
      <c r="G315" s="55" t="str">
        <f t="shared" si="18"/>
        <v/>
      </c>
    </row>
    <row r="316" spans="1:7" ht="15" x14ac:dyDescent="0.2">
      <c r="A316" s="79"/>
      <c r="B316" s="79"/>
      <c r="C316" s="79"/>
      <c r="D316" s="55" t="str">
        <f t="shared" si="16"/>
        <v/>
      </c>
      <c r="E316" s="56" t="str">
        <f t="shared" si="19"/>
        <v/>
      </c>
      <c r="F316" s="55" t="str">
        <f t="shared" si="17"/>
        <v/>
      </c>
      <c r="G316" s="55" t="str">
        <f t="shared" si="18"/>
        <v/>
      </c>
    </row>
    <row r="317" spans="1:7" ht="15" x14ac:dyDescent="0.2">
      <c r="A317" s="79"/>
      <c r="B317" s="79"/>
      <c r="C317" s="79"/>
      <c r="D317" s="55" t="str">
        <f t="shared" si="16"/>
        <v/>
      </c>
      <c r="E317" s="56" t="str">
        <f t="shared" si="19"/>
        <v/>
      </c>
      <c r="F317" s="55" t="str">
        <f t="shared" si="17"/>
        <v/>
      </c>
      <c r="G317" s="55" t="str">
        <f t="shared" si="18"/>
        <v/>
      </c>
    </row>
    <row r="318" spans="1:7" ht="15" x14ac:dyDescent="0.2">
      <c r="A318" s="79"/>
      <c r="B318" s="79"/>
      <c r="C318" s="79"/>
      <c r="D318" s="55" t="str">
        <f t="shared" si="16"/>
        <v/>
      </c>
      <c r="E318" s="56" t="str">
        <f t="shared" si="19"/>
        <v/>
      </c>
      <c r="F318" s="55" t="str">
        <f t="shared" si="17"/>
        <v/>
      </c>
      <c r="G318" s="55" t="str">
        <f t="shared" si="18"/>
        <v/>
      </c>
    </row>
    <row r="319" spans="1:7" ht="15" x14ac:dyDescent="0.2">
      <c r="A319" s="79"/>
      <c r="B319" s="79"/>
      <c r="C319" s="79"/>
      <c r="D319" s="55" t="str">
        <f t="shared" si="16"/>
        <v/>
      </c>
      <c r="E319" s="56" t="str">
        <f t="shared" si="19"/>
        <v/>
      </c>
      <c r="F319" s="55" t="str">
        <f t="shared" si="17"/>
        <v/>
      </c>
      <c r="G319" s="55" t="str">
        <f t="shared" si="18"/>
        <v/>
      </c>
    </row>
    <row r="320" spans="1:7" ht="15" x14ac:dyDescent="0.2">
      <c r="A320" s="79"/>
      <c r="B320" s="79"/>
      <c r="C320" s="79"/>
      <c r="D320" s="55" t="str">
        <f t="shared" si="16"/>
        <v/>
      </c>
      <c r="E320" s="56" t="str">
        <f t="shared" si="19"/>
        <v/>
      </c>
      <c r="F320" s="55" t="str">
        <f t="shared" si="17"/>
        <v/>
      </c>
      <c r="G320" s="55" t="str">
        <f t="shared" si="18"/>
        <v/>
      </c>
    </row>
    <row r="321" spans="1:7" ht="15" x14ac:dyDescent="0.2">
      <c r="A321" s="79"/>
      <c r="B321" s="79"/>
      <c r="C321" s="79"/>
      <c r="D321" s="55" t="str">
        <f t="shared" si="16"/>
        <v/>
      </c>
      <c r="E321" s="56" t="str">
        <f t="shared" si="19"/>
        <v/>
      </c>
      <c r="F321" s="55" t="str">
        <f t="shared" si="17"/>
        <v/>
      </c>
      <c r="G321" s="55" t="str">
        <f t="shared" si="18"/>
        <v/>
      </c>
    </row>
    <row r="322" spans="1:7" ht="15" x14ac:dyDescent="0.2">
      <c r="A322" s="79"/>
      <c r="B322" s="79"/>
      <c r="C322" s="79"/>
      <c r="D322" s="55" t="str">
        <f t="shared" si="16"/>
        <v/>
      </c>
      <c r="E322" s="56" t="str">
        <f t="shared" si="19"/>
        <v/>
      </c>
      <c r="F322" s="55" t="str">
        <f t="shared" si="17"/>
        <v/>
      </c>
      <c r="G322" s="55" t="str">
        <f t="shared" si="18"/>
        <v/>
      </c>
    </row>
    <row r="323" spans="1:7" ht="15" x14ac:dyDescent="0.2">
      <c r="A323" s="79"/>
      <c r="B323" s="79"/>
      <c r="C323" s="79"/>
      <c r="D323" s="55" t="str">
        <f t="shared" ref="D323:D386" si="20">IFERROR(IF(B323="","",C323-B323),"")</f>
        <v/>
      </c>
      <c r="E323" s="56" t="str">
        <f t="shared" si="19"/>
        <v/>
      </c>
      <c r="F323" s="55" t="str">
        <f t="shared" ref="F323:F386" si="21">IF(Kielivalinta="","",IF(B323="",IF(Kielivalinta="Suomi","Tieto puuttuu :"&amp;B$3,IF(Kielivalinta="Svenska","Information saknas :"&amp;B$3)),""))</f>
        <v/>
      </c>
      <c r="G323" s="55" t="str">
        <f t="shared" ref="G323:G386" si="22">IF(Kielivalinta="","",IF(C323="",IF(Kielivalinta="Suomi","Tieto puuttuu :"&amp;C$3,IF(Kielivalinta="Svenska","Information saknas :"&amp;C$3)),""))</f>
        <v/>
      </c>
    </row>
    <row r="324" spans="1:7" ht="15" x14ac:dyDescent="0.2">
      <c r="A324" s="79"/>
      <c r="B324" s="79"/>
      <c r="C324" s="79"/>
      <c r="D324" s="55" t="str">
        <f t="shared" si="20"/>
        <v/>
      </c>
      <c r="E324" s="56" t="str">
        <f t="shared" ref="E324:E387" si="23">IFERROR(IF(B324="","",IF(B324=0,"",IF(B324="","",(C324/B324)-1))),"")</f>
        <v/>
      </c>
      <c r="F324" s="55" t="str">
        <f t="shared" si="21"/>
        <v/>
      </c>
      <c r="G324" s="55" t="str">
        <f t="shared" si="22"/>
        <v/>
      </c>
    </row>
    <row r="325" spans="1:7" ht="15" x14ac:dyDescent="0.2">
      <c r="A325" s="79"/>
      <c r="B325" s="79"/>
      <c r="C325" s="79"/>
      <c r="D325" s="55" t="str">
        <f t="shared" si="20"/>
        <v/>
      </c>
      <c r="E325" s="56" t="str">
        <f t="shared" si="23"/>
        <v/>
      </c>
      <c r="F325" s="55" t="str">
        <f t="shared" si="21"/>
        <v/>
      </c>
      <c r="G325" s="55" t="str">
        <f t="shared" si="22"/>
        <v/>
      </c>
    </row>
    <row r="326" spans="1:7" ht="15" x14ac:dyDescent="0.2">
      <c r="A326" s="79"/>
      <c r="B326" s="79"/>
      <c r="C326" s="79"/>
      <c r="D326" s="55" t="str">
        <f t="shared" si="20"/>
        <v/>
      </c>
      <c r="E326" s="56" t="str">
        <f t="shared" si="23"/>
        <v/>
      </c>
      <c r="F326" s="55" t="str">
        <f t="shared" si="21"/>
        <v/>
      </c>
      <c r="G326" s="55" t="str">
        <f t="shared" si="22"/>
        <v/>
      </c>
    </row>
    <row r="327" spans="1:7" ht="15" x14ac:dyDescent="0.2">
      <c r="A327" s="79"/>
      <c r="B327" s="79"/>
      <c r="C327" s="79"/>
      <c r="D327" s="55" t="str">
        <f t="shared" si="20"/>
        <v/>
      </c>
      <c r="E327" s="56" t="str">
        <f t="shared" si="23"/>
        <v/>
      </c>
      <c r="F327" s="55" t="str">
        <f t="shared" si="21"/>
        <v/>
      </c>
      <c r="G327" s="55" t="str">
        <f t="shared" si="22"/>
        <v/>
      </c>
    </row>
    <row r="328" spans="1:7" ht="15" x14ac:dyDescent="0.2">
      <c r="A328" s="79"/>
      <c r="B328" s="79"/>
      <c r="C328" s="79"/>
      <c r="D328" s="55" t="str">
        <f t="shared" si="20"/>
        <v/>
      </c>
      <c r="E328" s="56" t="str">
        <f t="shared" si="23"/>
        <v/>
      </c>
      <c r="F328" s="55" t="str">
        <f t="shared" si="21"/>
        <v/>
      </c>
      <c r="G328" s="55" t="str">
        <f t="shared" si="22"/>
        <v/>
      </c>
    </row>
    <row r="329" spans="1:7" ht="15" x14ac:dyDescent="0.2">
      <c r="A329" s="79"/>
      <c r="B329" s="79"/>
      <c r="C329" s="79"/>
      <c r="D329" s="55" t="str">
        <f t="shared" si="20"/>
        <v/>
      </c>
      <c r="E329" s="56" t="str">
        <f t="shared" si="23"/>
        <v/>
      </c>
      <c r="F329" s="55" t="str">
        <f t="shared" si="21"/>
        <v/>
      </c>
      <c r="G329" s="55" t="str">
        <f t="shared" si="22"/>
        <v/>
      </c>
    </row>
    <row r="330" spans="1:7" ht="15" x14ac:dyDescent="0.2">
      <c r="A330" s="79"/>
      <c r="B330" s="79"/>
      <c r="C330" s="79"/>
      <c r="D330" s="55" t="str">
        <f t="shared" si="20"/>
        <v/>
      </c>
      <c r="E330" s="56" t="str">
        <f t="shared" si="23"/>
        <v/>
      </c>
      <c r="F330" s="55" t="str">
        <f t="shared" si="21"/>
        <v/>
      </c>
      <c r="G330" s="55" t="str">
        <f t="shared" si="22"/>
        <v/>
      </c>
    </row>
    <row r="331" spans="1:7" ht="15" x14ac:dyDescent="0.2">
      <c r="A331" s="79"/>
      <c r="B331" s="79"/>
      <c r="C331" s="79"/>
      <c r="D331" s="55" t="str">
        <f t="shared" si="20"/>
        <v/>
      </c>
      <c r="E331" s="56" t="str">
        <f t="shared" si="23"/>
        <v/>
      </c>
      <c r="F331" s="55" t="str">
        <f t="shared" si="21"/>
        <v/>
      </c>
      <c r="G331" s="55" t="str">
        <f t="shared" si="22"/>
        <v/>
      </c>
    </row>
    <row r="332" spans="1:7" ht="15" x14ac:dyDescent="0.2">
      <c r="A332" s="79"/>
      <c r="B332" s="79"/>
      <c r="C332" s="79"/>
      <c r="D332" s="55" t="str">
        <f t="shared" si="20"/>
        <v/>
      </c>
      <c r="E332" s="56" t="str">
        <f t="shared" si="23"/>
        <v/>
      </c>
      <c r="F332" s="55" t="str">
        <f t="shared" si="21"/>
        <v/>
      </c>
      <c r="G332" s="55" t="str">
        <f t="shared" si="22"/>
        <v/>
      </c>
    </row>
    <row r="333" spans="1:7" ht="15" x14ac:dyDescent="0.2">
      <c r="A333" s="79"/>
      <c r="B333" s="79"/>
      <c r="C333" s="79"/>
      <c r="D333" s="55" t="str">
        <f t="shared" si="20"/>
        <v/>
      </c>
      <c r="E333" s="56" t="str">
        <f t="shared" si="23"/>
        <v/>
      </c>
      <c r="F333" s="55" t="str">
        <f t="shared" si="21"/>
        <v/>
      </c>
      <c r="G333" s="55" t="str">
        <f t="shared" si="22"/>
        <v/>
      </c>
    </row>
    <row r="334" spans="1:7" ht="15" x14ac:dyDescent="0.2">
      <c r="A334" s="79"/>
      <c r="B334" s="79"/>
      <c r="C334" s="79"/>
      <c r="D334" s="55" t="str">
        <f t="shared" si="20"/>
        <v/>
      </c>
      <c r="E334" s="56" t="str">
        <f t="shared" si="23"/>
        <v/>
      </c>
      <c r="F334" s="55" t="str">
        <f t="shared" si="21"/>
        <v/>
      </c>
      <c r="G334" s="55" t="str">
        <f t="shared" si="22"/>
        <v/>
      </c>
    </row>
    <row r="335" spans="1:7" ht="15" x14ac:dyDescent="0.2">
      <c r="A335" s="79"/>
      <c r="B335" s="79"/>
      <c r="C335" s="79"/>
      <c r="D335" s="55" t="str">
        <f t="shared" si="20"/>
        <v/>
      </c>
      <c r="E335" s="56" t="str">
        <f t="shared" si="23"/>
        <v/>
      </c>
      <c r="F335" s="55" t="str">
        <f t="shared" si="21"/>
        <v/>
      </c>
      <c r="G335" s="55" t="str">
        <f t="shared" si="22"/>
        <v/>
      </c>
    </row>
    <row r="336" spans="1:7" ht="15" x14ac:dyDescent="0.2">
      <c r="A336" s="79"/>
      <c r="B336" s="79"/>
      <c r="C336" s="79"/>
      <c r="D336" s="55" t="str">
        <f t="shared" si="20"/>
        <v/>
      </c>
      <c r="E336" s="56" t="str">
        <f t="shared" si="23"/>
        <v/>
      </c>
      <c r="F336" s="55" t="str">
        <f t="shared" si="21"/>
        <v/>
      </c>
      <c r="G336" s="55" t="str">
        <f t="shared" si="22"/>
        <v/>
      </c>
    </row>
    <row r="337" spans="1:7" ht="15" x14ac:dyDescent="0.2">
      <c r="A337" s="79"/>
      <c r="B337" s="79"/>
      <c r="C337" s="79"/>
      <c r="D337" s="55" t="str">
        <f t="shared" si="20"/>
        <v/>
      </c>
      <c r="E337" s="56" t="str">
        <f t="shared" si="23"/>
        <v/>
      </c>
      <c r="F337" s="55" t="str">
        <f t="shared" si="21"/>
        <v/>
      </c>
      <c r="G337" s="55" t="str">
        <f t="shared" si="22"/>
        <v/>
      </c>
    </row>
    <row r="338" spans="1:7" ht="15" x14ac:dyDescent="0.2">
      <c r="A338" s="79"/>
      <c r="B338" s="79"/>
      <c r="C338" s="79"/>
      <c r="D338" s="55" t="str">
        <f t="shared" si="20"/>
        <v/>
      </c>
      <c r="E338" s="56" t="str">
        <f t="shared" si="23"/>
        <v/>
      </c>
      <c r="F338" s="55" t="str">
        <f t="shared" si="21"/>
        <v/>
      </c>
      <c r="G338" s="55" t="str">
        <f t="shared" si="22"/>
        <v/>
      </c>
    </row>
    <row r="339" spans="1:7" ht="15" x14ac:dyDescent="0.2">
      <c r="A339" s="79"/>
      <c r="B339" s="79"/>
      <c r="C339" s="79"/>
      <c r="D339" s="55" t="str">
        <f t="shared" si="20"/>
        <v/>
      </c>
      <c r="E339" s="56" t="str">
        <f t="shared" si="23"/>
        <v/>
      </c>
      <c r="F339" s="55" t="str">
        <f t="shared" si="21"/>
        <v/>
      </c>
      <c r="G339" s="55" t="str">
        <f t="shared" si="22"/>
        <v/>
      </c>
    </row>
    <row r="340" spans="1:7" ht="15" x14ac:dyDescent="0.2">
      <c r="A340" s="79"/>
      <c r="B340" s="79"/>
      <c r="C340" s="79"/>
      <c r="D340" s="55" t="str">
        <f t="shared" si="20"/>
        <v/>
      </c>
      <c r="E340" s="56" t="str">
        <f t="shared" si="23"/>
        <v/>
      </c>
      <c r="F340" s="55" t="str">
        <f t="shared" si="21"/>
        <v/>
      </c>
      <c r="G340" s="55" t="str">
        <f t="shared" si="22"/>
        <v/>
      </c>
    </row>
    <row r="341" spans="1:7" ht="15" x14ac:dyDescent="0.2">
      <c r="A341" s="79"/>
      <c r="B341" s="79"/>
      <c r="C341" s="79"/>
      <c r="D341" s="55" t="str">
        <f t="shared" si="20"/>
        <v/>
      </c>
      <c r="E341" s="56" t="str">
        <f t="shared" si="23"/>
        <v/>
      </c>
      <c r="F341" s="55" t="str">
        <f t="shared" si="21"/>
        <v/>
      </c>
      <c r="G341" s="55" t="str">
        <f t="shared" si="22"/>
        <v/>
      </c>
    </row>
    <row r="342" spans="1:7" ht="15" x14ac:dyDescent="0.2">
      <c r="A342" s="79"/>
      <c r="B342" s="79"/>
      <c r="C342" s="79"/>
      <c r="D342" s="55" t="str">
        <f t="shared" si="20"/>
        <v/>
      </c>
      <c r="E342" s="56" t="str">
        <f t="shared" si="23"/>
        <v/>
      </c>
      <c r="F342" s="55" t="str">
        <f t="shared" si="21"/>
        <v/>
      </c>
      <c r="G342" s="55" t="str">
        <f t="shared" si="22"/>
        <v/>
      </c>
    </row>
    <row r="343" spans="1:7" ht="15" x14ac:dyDescent="0.2">
      <c r="A343" s="79"/>
      <c r="B343" s="79"/>
      <c r="C343" s="79"/>
      <c r="D343" s="55" t="str">
        <f t="shared" si="20"/>
        <v/>
      </c>
      <c r="E343" s="56" t="str">
        <f t="shared" si="23"/>
        <v/>
      </c>
      <c r="F343" s="55" t="str">
        <f t="shared" si="21"/>
        <v/>
      </c>
      <c r="G343" s="55" t="str">
        <f t="shared" si="22"/>
        <v/>
      </c>
    </row>
    <row r="344" spans="1:7" ht="15" x14ac:dyDescent="0.2">
      <c r="A344" s="79"/>
      <c r="B344" s="79"/>
      <c r="C344" s="79"/>
      <c r="D344" s="55" t="str">
        <f t="shared" si="20"/>
        <v/>
      </c>
      <c r="E344" s="56" t="str">
        <f t="shared" si="23"/>
        <v/>
      </c>
      <c r="F344" s="55" t="str">
        <f t="shared" si="21"/>
        <v/>
      </c>
      <c r="G344" s="55" t="str">
        <f t="shared" si="22"/>
        <v/>
      </c>
    </row>
    <row r="345" spans="1:7" ht="15" x14ac:dyDescent="0.2">
      <c r="A345" s="79"/>
      <c r="B345" s="79"/>
      <c r="C345" s="79"/>
      <c r="D345" s="55" t="str">
        <f t="shared" si="20"/>
        <v/>
      </c>
      <c r="E345" s="56" t="str">
        <f t="shared" si="23"/>
        <v/>
      </c>
      <c r="F345" s="55" t="str">
        <f t="shared" si="21"/>
        <v/>
      </c>
      <c r="G345" s="55" t="str">
        <f t="shared" si="22"/>
        <v/>
      </c>
    </row>
    <row r="346" spans="1:7" ht="15" x14ac:dyDescent="0.2">
      <c r="A346" s="79"/>
      <c r="B346" s="79"/>
      <c r="C346" s="79"/>
      <c r="D346" s="55" t="str">
        <f t="shared" si="20"/>
        <v/>
      </c>
      <c r="E346" s="56" t="str">
        <f t="shared" si="23"/>
        <v/>
      </c>
      <c r="F346" s="55" t="str">
        <f t="shared" si="21"/>
        <v/>
      </c>
      <c r="G346" s="55" t="str">
        <f t="shared" si="22"/>
        <v/>
      </c>
    </row>
    <row r="347" spans="1:7" ht="15" x14ac:dyDescent="0.2">
      <c r="A347" s="79"/>
      <c r="B347" s="79"/>
      <c r="C347" s="79"/>
      <c r="D347" s="55" t="str">
        <f t="shared" si="20"/>
        <v/>
      </c>
      <c r="E347" s="56" t="str">
        <f t="shared" si="23"/>
        <v/>
      </c>
      <c r="F347" s="55" t="str">
        <f t="shared" si="21"/>
        <v/>
      </c>
      <c r="G347" s="55" t="str">
        <f t="shared" si="22"/>
        <v/>
      </c>
    </row>
    <row r="348" spans="1:7" ht="15" x14ac:dyDescent="0.2">
      <c r="A348" s="79"/>
      <c r="B348" s="79"/>
      <c r="C348" s="79"/>
      <c r="D348" s="55" t="str">
        <f t="shared" si="20"/>
        <v/>
      </c>
      <c r="E348" s="56" t="str">
        <f t="shared" si="23"/>
        <v/>
      </c>
      <c r="F348" s="55" t="str">
        <f t="shared" si="21"/>
        <v/>
      </c>
      <c r="G348" s="55" t="str">
        <f t="shared" si="22"/>
        <v/>
      </c>
    </row>
    <row r="349" spans="1:7" ht="15" x14ac:dyDescent="0.2">
      <c r="A349" s="79"/>
      <c r="B349" s="79"/>
      <c r="C349" s="79"/>
      <c r="D349" s="55" t="str">
        <f t="shared" si="20"/>
        <v/>
      </c>
      <c r="E349" s="56" t="str">
        <f t="shared" si="23"/>
        <v/>
      </c>
      <c r="F349" s="55" t="str">
        <f t="shared" si="21"/>
        <v/>
      </c>
      <c r="G349" s="55" t="str">
        <f t="shared" si="22"/>
        <v/>
      </c>
    </row>
    <row r="350" spans="1:7" ht="15" x14ac:dyDescent="0.2">
      <c r="A350" s="79"/>
      <c r="B350" s="79"/>
      <c r="C350" s="79"/>
      <c r="D350" s="55" t="str">
        <f t="shared" si="20"/>
        <v/>
      </c>
      <c r="E350" s="56" t="str">
        <f t="shared" si="23"/>
        <v/>
      </c>
      <c r="F350" s="55" t="str">
        <f t="shared" si="21"/>
        <v/>
      </c>
      <c r="G350" s="55" t="str">
        <f t="shared" si="22"/>
        <v/>
      </c>
    </row>
    <row r="351" spans="1:7" ht="15" x14ac:dyDescent="0.2">
      <c r="A351" s="79"/>
      <c r="B351" s="79"/>
      <c r="C351" s="79"/>
      <c r="D351" s="55" t="str">
        <f t="shared" si="20"/>
        <v/>
      </c>
      <c r="E351" s="56" t="str">
        <f t="shared" si="23"/>
        <v/>
      </c>
      <c r="F351" s="55" t="str">
        <f t="shared" si="21"/>
        <v/>
      </c>
      <c r="G351" s="55" t="str">
        <f t="shared" si="22"/>
        <v/>
      </c>
    </row>
    <row r="352" spans="1:7" ht="15" x14ac:dyDescent="0.2">
      <c r="A352" s="79"/>
      <c r="B352" s="79"/>
      <c r="C352" s="79"/>
      <c r="D352" s="55" t="str">
        <f t="shared" si="20"/>
        <v/>
      </c>
      <c r="E352" s="56" t="str">
        <f t="shared" si="23"/>
        <v/>
      </c>
      <c r="F352" s="55" t="str">
        <f t="shared" si="21"/>
        <v/>
      </c>
      <c r="G352" s="55" t="str">
        <f t="shared" si="22"/>
        <v/>
      </c>
    </row>
    <row r="353" spans="1:7" ht="15" x14ac:dyDescent="0.2">
      <c r="A353" s="79"/>
      <c r="B353" s="79"/>
      <c r="C353" s="79"/>
      <c r="D353" s="55" t="str">
        <f t="shared" si="20"/>
        <v/>
      </c>
      <c r="E353" s="56" t="str">
        <f t="shared" si="23"/>
        <v/>
      </c>
      <c r="F353" s="55" t="str">
        <f t="shared" si="21"/>
        <v/>
      </c>
      <c r="G353" s="55" t="str">
        <f t="shared" si="22"/>
        <v/>
      </c>
    </row>
    <row r="354" spans="1:7" ht="15" x14ac:dyDescent="0.2">
      <c r="A354" s="79"/>
      <c r="B354" s="79"/>
      <c r="C354" s="79"/>
      <c r="D354" s="55" t="str">
        <f t="shared" si="20"/>
        <v/>
      </c>
      <c r="E354" s="56" t="str">
        <f t="shared" si="23"/>
        <v/>
      </c>
      <c r="F354" s="55" t="str">
        <f t="shared" si="21"/>
        <v/>
      </c>
      <c r="G354" s="55" t="str">
        <f t="shared" si="22"/>
        <v/>
      </c>
    </row>
    <row r="355" spans="1:7" ht="15" x14ac:dyDescent="0.2">
      <c r="A355" s="79"/>
      <c r="B355" s="79"/>
      <c r="C355" s="79"/>
      <c r="D355" s="55" t="str">
        <f t="shared" si="20"/>
        <v/>
      </c>
      <c r="E355" s="56" t="str">
        <f t="shared" si="23"/>
        <v/>
      </c>
      <c r="F355" s="55" t="str">
        <f t="shared" si="21"/>
        <v/>
      </c>
      <c r="G355" s="55" t="str">
        <f t="shared" si="22"/>
        <v/>
      </c>
    </row>
    <row r="356" spans="1:7" ht="15" x14ac:dyDescent="0.2">
      <c r="A356" s="79"/>
      <c r="B356" s="79"/>
      <c r="C356" s="79"/>
      <c r="D356" s="55" t="str">
        <f t="shared" si="20"/>
        <v/>
      </c>
      <c r="E356" s="56" t="str">
        <f t="shared" si="23"/>
        <v/>
      </c>
      <c r="F356" s="55" t="str">
        <f t="shared" si="21"/>
        <v/>
      </c>
      <c r="G356" s="55" t="str">
        <f t="shared" si="22"/>
        <v/>
      </c>
    </row>
    <row r="357" spans="1:7" ht="15" x14ac:dyDescent="0.2">
      <c r="A357" s="79"/>
      <c r="B357" s="79"/>
      <c r="C357" s="79"/>
      <c r="D357" s="55" t="str">
        <f t="shared" si="20"/>
        <v/>
      </c>
      <c r="E357" s="56" t="str">
        <f t="shared" si="23"/>
        <v/>
      </c>
      <c r="F357" s="55" t="str">
        <f t="shared" si="21"/>
        <v/>
      </c>
      <c r="G357" s="55" t="str">
        <f t="shared" si="22"/>
        <v/>
      </c>
    </row>
    <row r="358" spans="1:7" ht="15" x14ac:dyDescent="0.2">
      <c r="A358" s="79"/>
      <c r="B358" s="79"/>
      <c r="C358" s="79"/>
      <c r="D358" s="55" t="str">
        <f t="shared" si="20"/>
        <v/>
      </c>
      <c r="E358" s="56" t="str">
        <f t="shared" si="23"/>
        <v/>
      </c>
      <c r="F358" s="55" t="str">
        <f t="shared" si="21"/>
        <v/>
      </c>
      <c r="G358" s="55" t="str">
        <f t="shared" si="22"/>
        <v/>
      </c>
    </row>
    <row r="359" spans="1:7" ht="15" x14ac:dyDescent="0.2">
      <c r="A359" s="79"/>
      <c r="B359" s="79"/>
      <c r="C359" s="79"/>
      <c r="D359" s="55" t="str">
        <f t="shared" si="20"/>
        <v/>
      </c>
      <c r="E359" s="56" t="str">
        <f t="shared" si="23"/>
        <v/>
      </c>
      <c r="F359" s="55" t="str">
        <f t="shared" si="21"/>
        <v/>
      </c>
      <c r="G359" s="55" t="str">
        <f t="shared" si="22"/>
        <v/>
      </c>
    </row>
    <row r="360" spans="1:7" ht="15" x14ac:dyDescent="0.2">
      <c r="A360" s="79"/>
      <c r="B360" s="79"/>
      <c r="C360" s="79"/>
      <c r="D360" s="55" t="str">
        <f t="shared" si="20"/>
        <v/>
      </c>
      <c r="E360" s="56" t="str">
        <f t="shared" si="23"/>
        <v/>
      </c>
      <c r="F360" s="55" t="str">
        <f t="shared" si="21"/>
        <v/>
      </c>
      <c r="G360" s="55" t="str">
        <f t="shared" si="22"/>
        <v/>
      </c>
    </row>
    <row r="361" spans="1:7" ht="15" x14ac:dyDescent="0.2">
      <c r="A361" s="79"/>
      <c r="B361" s="79"/>
      <c r="C361" s="79"/>
      <c r="D361" s="55" t="str">
        <f t="shared" si="20"/>
        <v/>
      </c>
      <c r="E361" s="56" t="str">
        <f t="shared" si="23"/>
        <v/>
      </c>
      <c r="F361" s="55" t="str">
        <f t="shared" si="21"/>
        <v/>
      </c>
      <c r="G361" s="55" t="str">
        <f t="shared" si="22"/>
        <v/>
      </c>
    </row>
    <row r="362" spans="1:7" ht="15" x14ac:dyDescent="0.2">
      <c r="A362" s="79"/>
      <c r="B362" s="79"/>
      <c r="C362" s="79"/>
      <c r="D362" s="55" t="str">
        <f t="shared" si="20"/>
        <v/>
      </c>
      <c r="E362" s="56" t="str">
        <f t="shared" si="23"/>
        <v/>
      </c>
      <c r="F362" s="55" t="str">
        <f t="shared" si="21"/>
        <v/>
      </c>
      <c r="G362" s="55" t="str">
        <f t="shared" si="22"/>
        <v/>
      </c>
    </row>
    <row r="363" spans="1:7" ht="15" x14ac:dyDescent="0.2">
      <c r="A363" s="79"/>
      <c r="B363" s="79"/>
      <c r="C363" s="79"/>
      <c r="D363" s="55" t="str">
        <f t="shared" si="20"/>
        <v/>
      </c>
      <c r="E363" s="56" t="str">
        <f t="shared" si="23"/>
        <v/>
      </c>
      <c r="F363" s="55" t="str">
        <f t="shared" si="21"/>
        <v/>
      </c>
      <c r="G363" s="55" t="str">
        <f t="shared" si="22"/>
        <v/>
      </c>
    </row>
    <row r="364" spans="1:7" ht="15" x14ac:dyDescent="0.2">
      <c r="A364" s="79"/>
      <c r="B364" s="79"/>
      <c r="C364" s="79"/>
      <c r="D364" s="55" t="str">
        <f t="shared" si="20"/>
        <v/>
      </c>
      <c r="E364" s="56" t="str">
        <f t="shared" si="23"/>
        <v/>
      </c>
      <c r="F364" s="55" t="str">
        <f t="shared" si="21"/>
        <v/>
      </c>
      <c r="G364" s="55" t="str">
        <f t="shared" si="22"/>
        <v/>
      </c>
    </row>
    <row r="365" spans="1:7" ht="15" x14ac:dyDescent="0.2">
      <c r="A365" s="79"/>
      <c r="B365" s="79"/>
      <c r="C365" s="79"/>
      <c r="D365" s="55" t="str">
        <f t="shared" si="20"/>
        <v/>
      </c>
      <c r="E365" s="56" t="str">
        <f t="shared" si="23"/>
        <v/>
      </c>
      <c r="F365" s="55" t="str">
        <f t="shared" si="21"/>
        <v/>
      </c>
      <c r="G365" s="55" t="str">
        <f t="shared" si="22"/>
        <v/>
      </c>
    </row>
    <row r="366" spans="1:7" ht="15" x14ac:dyDescent="0.2">
      <c r="A366" s="79"/>
      <c r="B366" s="79"/>
      <c r="C366" s="79"/>
      <c r="D366" s="55" t="str">
        <f t="shared" si="20"/>
        <v/>
      </c>
      <c r="E366" s="56" t="str">
        <f t="shared" si="23"/>
        <v/>
      </c>
      <c r="F366" s="55" t="str">
        <f t="shared" si="21"/>
        <v/>
      </c>
      <c r="G366" s="55" t="str">
        <f t="shared" si="22"/>
        <v/>
      </c>
    </row>
    <row r="367" spans="1:7" ht="15" customHeight="1" x14ac:dyDescent="0.2">
      <c r="A367" s="79"/>
      <c r="B367" s="79"/>
      <c r="C367" s="79"/>
      <c r="D367" s="55" t="str">
        <f t="shared" si="20"/>
        <v/>
      </c>
      <c r="E367" s="56" t="str">
        <f t="shared" si="23"/>
        <v/>
      </c>
      <c r="F367" s="55" t="str">
        <f t="shared" si="21"/>
        <v/>
      </c>
      <c r="G367" s="55" t="str">
        <f t="shared" si="22"/>
        <v/>
      </c>
    </row>
    <row r="368" spans="1:7" ht="15" x14ac:dyDescent="0.2">
      <c r="A368" s="79"/>
      <c r="B368" s="79"/>
      <c r="C368" s="79"/>
      <c r="D368" s="55" t="str">
        <f t="shared" si="20"/>
        <v/>
      </c>
      <c r="E368" s="56" t="str">
        <f t="shared" si="23"/>
        <v/>
      </c>
      <c r="F368" s="55" t="str">
        <f t="shared" si="21"/>
        <v/>
      </c>
      <c r="G368" s="55" t="str">
        <f t="shared" si="22"/>
        <v/>
      </c>
    </row>
    <row r="369" spans="1:7" ht="15" x14ac:dyDescent="0.2">
      <c r="A369" s="79"/>
      <c r="B369" s="79"/>
      <c r="C369" s="79"/>
      <c r="D369" s="55" t="str">
        <f t="shared" si="20"/>
        <v/>
      </c>
      <c r="E369" s="56" t="str">
        <f t="shared" si="23"/>
        <v/>
      </c>
      <c r="F369" s="55" t="str">
        <f t="shared" si="21"/>
        <v/>
      </c>
      <c r="G369" s="55" t="str">
        <f t="shared" si="22"/>
        <v/>
      </c>
    </row>
    <row r="370" spans="1:7" ht="15" x14ac:dyDescent="0.2">
      <c r="A370" s="79"/>
      <c r="B370" s="79"/>
      <c r="C370" s="79"/>
      <c r="D370" s="55" t="str">
        <f t="shared" si="20"/>
        <v/>
      </c>
      <c r="E370" s="56" t="str">
        <f t="shared" si="23"/>
        <v/>
      </c>
      <c r="F370" s="55" t="str">
        <f t="shared" si="21"/>
        <v/>
      </c>
      <c r="G370" s="55" t="str">
        <f t="shared" si="22"/>
        <v/>
      </c>
    </row>
    <row r="371" spans="1:7" ht="15" x14ac:dyDescent="0.2">
      <c r="A371" s="79"/>
      <c r="B371" s="79"/>
      <c r="C371" s="79"/>
      <c r="D371" s="55" t="str">
        <f t="shared" si="20"/>
        <v/>
      </c>
      <c r="E371" s="56" t="str">
        <f t="shared" si="23"/>
        <v/>
      </c>
      <c r="F371" s="55" t="str">
        <f t="shared" si="21"/>
        <v/>
      </c>
      <c r="G371" s="55" t="str">
        <f t="shared" si="22"/>
        <v/>
      </c>
    </row>
    <row r="372" spans="1:7" ht="15" x14ac:dyDescent="0.2">
      <c r="A372" s="79"/>
      <c r="B372" s="79"/>
      <c r="C372" s="79"/>
      <c r="D372" s="55" t="str">
        <f t="shared" si="20"/>
        <v/>
      </c>
      <c r="E372" s="56" t="str">
        <f t="shared" si="23"/>
        <v/>
      </c>
      <c r="F372" s="55" t="str">
        <f t="shared" si="21"/>
        <v/>
      </c>
      <c r="G372" s="55" t="str">
        <f t="shared" si="22"/>
        <v/>
      </c>
    </row>
    <row r="373" spans="1:7" ht="15" x14ac:dyDescent="0.2">
      <c r="A373" s="79"/>
      <c r="B373" s="79"/>
      <c r="C373" s="79"/>
      <c r="D373" s="55" t="str">
        <f t="shared" si="20"/>
        <v/>
      </c>
      <c r="E373" s="56" t="str">
        <f t="shared" si="23"/>
        <v/>
      </c>
      <c r="F373" s="55" t="str">
        <f t="shared" si="21"/>
        <v/>
      </c>
      <c r="G373" s="55" t="str">
        <f t="shared" si="22"/>
        <v/>
      </c>
    </row>
    <row r="374" spans="1:7" ht="15" x14ac:dyDescent="0.2">
      <c r="A374" s="79"/>
      <c r="B374" s="79"/>
      <c r="C374" s="79"/>
      <c r="D374" s="55" t="str">
        <f t="shared" si="20"/>
        <v/>
      </c>
      <c r="E374" s="56" t="str">
        <f t="shared" si="23"/>
        <v/>
      </c>
      <c r="F374" s="55" t="str">
        <f t="shared" si="21"/>
        <v/>
      </c>
      <c r="G374" s="55" t="str">
        <f t="shared" si="22"/>
        <v/>
      </c>
    </row>
    <row r="375" spans="1:7" ht="15" x14ac:dyDescent="0.2">
      <c r="A375" s="79"/>
      <c r="B375" s="79"/>
      <c r="C375" s="79"/>
      <c r="D375" s="55" t="str">
        <f t="shared" si="20"/>
        <v/>
      </c>
      <c r="E375" s="56" t="str">
        <f t="shared" si="23"/>
        <v/>
      </c>
      <c r="F375" s="55" t="str">
        <f t="shared" si="21"/>
        <v/>
      </c>
      <c r="G375" s="55" t="str">
        <f t="shared" si="22"/>
        <v/>
      </c>
    </row>
    <row r="376" spans="1:7" ht="15" x14ac:dyDescent="0.2">
      <c r="A376" s="79"/>
      <c r="B376" s="79"/>
      <c r="C376" s="79"/>
      <c r="D376" s="55" t="str">
        <f t="shared" si="20"/>
        <v/>
      </c>
      <c r="E376" s="56" t="str">
        <f t="shared" si="23"/>
        <v/>
      </c>
      <c r="F376" s="55" t="str">
        <f t="shared" si="21"/>
        <v/>
      </c>
      <c r="G376" s="55" t="str">
        <f t="shared" si="22"/>
        <v/>
      </c>
    </row>
    <row r="377" spans="1:7" ht="15" x14ac:dyDescent="0.2">
      <c r="A377" s="79"/>
      <c r="B377" s="79"/>
      <c r="C377" s="79"/>
      <c r="D377" s="55" t="str">
        <f t="shared" si="20"/>
        <v/>
      </c>
      <c r="E377" s="56" t="str">
        <f t="shared" si="23"/>
        <v/>
      </c>
      <c r="F377" s="55" t="str">
        <f t="shared" si="21"/>
        <v/>
      </c>
      <c r="G377" s="55" t="str">
        <f t="shared" si="22"/>
        <v/>
      </c>
    </row>
    <row r="378" spans="1:7" ht="15" x14ac:dyDescent="0.2">
      <c r="A378" s="79"/>
      <c r="B378" s="79"/>
      <c r="C378" s="79"/>
      <c r="D378" s="55" t="str">
        <f t="shared" si="20"/>
        <v/>
      </c>
      <c r="E378" s="56" t="str">
        <f t="shared" si="23"/>
        <v/>
      </c>
      <c r="F378" s="55" t="str">
        <f t="shared" si="21"/>
        <v/>
      </c>
      <c r="G378" s="55" t="str">
        <f t="shared" si="22"/>
        <v/>
      </c>
    </row>
    <row r="379" spans="1:7" ht="15" x14ac:dyDescent="0.2">
      <c r="A379" s="79"/>
      <c r="B379" s="79"/>
      <c r="C379" s="79"/>
      <c r="D379" s="55" t="str">
        <f t="shared" si="20"/>
        <v/>
      </c>
      <c r="E379" s="56" t="str">
        <f t="shared" si="23"/>
        <v/>
      </c>
      <c r="F379" s="55" t="str">
        <f t="shared" si="21"/>
        <v/>
      </c>
      <c r="G379" s="55" t="str">
        <f t="shared" si="22"/>
        <v/>
      </c>
    </row>
    <row r="380" spans="1:7" ht="15" x14ac:dyDescent="0.2">
      <c r="A380" s="79"/>
      <c r="B380" s="79"/>
      <c r="C380" s="79"/>
      <c r="D380" s="55" t="str">
        <f t="shared" si="20"/>
        <v/>
      </c>
      <c r="E380" s="56" t="str">
        <f t="shared" si="23"/>
        <v/>
      </c>
      <c r="F380" s="55" t="str">
        <f t="shared" si="21"/>
        <v/>
      </c>
      <c r="G380" s="55" t="str">
        <f t="shared" si="22"/>
        <v/>
      </c>
    </row>
    <row r="381" spans="1:7" ht="15" x14ac:dyDescent="0.2">
      <c r="A381" s="79"/>
      <c r="B381" s="79"/>
      <c r="C381" s="79"/>
      <c r="D381" s="55" t="str">
        <f t="shared" si="20"/>
        <v/>
      </c>
      <c r="E381" s="56" t="str">
        <f t="shared" si="23"/>
        <v/>
      </c>
      <c r="F381" s="55" t="str">
        <f t="shared" si="21"/>
        <v/>
      </c>
      <c r="G381" s="55" t="str">
        <f t="shared" si="22"/>
        <v/>
      </c>
    </row>
    <row r="382" spans="1:7" ht="15" x14ac:dyDescent="0.2">
      <c r="A382" s="79"/>
      <c r="B382" s="79"/>
      <c r="C382" s="79"/>
      <c r="D382" s="55" t="str">
        <f t="shared" si="20"/>
        <v/>
      </c>
      <c r="E382" s="56" t="str">
        <f t="shared" si="23"/>
        <v/>
      </c>
      <c r="F382" s="55" t="str">
        <f t="shared" si="21"/>
        <v/>
      </c>
      <c r="G382" s="55" t="str">
        <f t="shared" si="22"/>
        <v/>
      </c>
    </row>
    <row r="383" spans="1:7" ht="15" x14ac:dyDescent="0.2">
      <c r="A383" s="79"/>
      <c r="B383" s="79"/>
      <c r="C383" s="79"/>
      <c r="D383" s="55" t="str">
        <f t="shared" si="20"/>
        <v/>
      </c>
      <c r="E383" s="56" t="str">
        <f t="shared" si="23"/>
        <v/>
      </c>
      <c r="F383" s="55" t="str">
        <f t="shared" si="21"/>
        <v/>
      </c>
      <c r="G383" s="55" t="str">
        <f t="shared" si="22"/>
        <v/>
      </c>
    </row>
    <row r="384" spans="1:7" ht="15" x14ac:dyDescent="0.2">
      <c r="A384" s="79"/>
      <c r="B384" s="79"/>
      <c r="C384" s="79"/>
      <c r="D384" s="55" t="str">
        <f t="shared" si="20"/>
        <v/>
      </c>
      <c r="E384" s="56" t="str">
        <f t="shared" si="23"/>
        <v/>
      </c>
      <c r="F384" s="55" t="str">
        <f t="shared" si="21"/>
        <v/>
      </c>
      <c r="G384" s="55" t="str">
        <f t="shared" si="22"/>
        <v/>
      </c>
    </row>
    <row r="385" spans="1:7" ht="15" x14ac:dyDescent="0.2">
      <c r="A385" s="79"/>
      <c r="B385" s="79"/>
      <c r="C385" s="79"/>
      <c r="D385" s="55" t="str">
        <f t="shared" si="20"/>
        <v/>
      </c>
      <c r="E385" s="56" t="str">
        <f t="shared" si="23"/>
        <v/>
      </c>
      <c r="F385" s="55" t="str">
        <f t="shared" si="21"/>
        <v/>
      </c>
      <c r="G385" s="55" t="str">
        <f t="shared" si="22"/>
        <v/>
      </c>
    </row>
    <row r="386" spans="1:7" ht="15" customHeight="1" x14ac:dyDescent="0.2">
      <c r="A386" s="79"/>
      <c r="B386" s="79"/>
      <c r="C386" s="79"/>
      <c r="D386" s="55" t="str">
        <f t="shared" si="20"/>
        <v/>
      </c>
      <c r="E386" s="56" t="str">
        <f t="shared" si="23"/>
        <v/>
      </c>
      <c r="F386" s="55" t="str">
        <f t="shared" si="21"/>
        <v/>
      </c>
      <c r="G386" s="55" t="str">
        <f t="shared" si="22"/>
        <v/>
      </c>
    </row>
    <row r="387" spans="1:7" ht="15" x14ac:dyDescent="0.2">
      <c r="A387" s="79"/>
      <c r="B387" s="79"/>
      <c r="C387" s="79"/>
      <c r="D387" s="55" t="str">
        <f t="shared" ref="D387:D450" si="24">IFERROR(IF(B387="","",C387-B387),"")</f>
        <v/>
      </c>
      <c r="E387" s="56" t="str">
        <f t="shared" si="23"/>
        <v/>
      </c>
      <c r="F387" s="55" t="str">
        <f t="shared" ref="F387:F450" si="25">IF(Kielivalinta="","",IF(B387="",IF(Kielivalinta="Suomi","Tieto puuttuu :"&amp;B$3,IF(Kielivalinta="Svenska","Information saknas :"&amp;B$3)),""))</f>
        <v/>
      </c>
      <c r="G387" s="55" t="str">
        <f t="shared" ref="G387:G450" si="26">IF(Kielivalinta="","",IF(C387="",IF(Kielivalinta="Suomi","Tieto puuttuu :"&amp;C$3,IF(Kielivalinta="Svenska","Information saknas :"&amp;C$3)),""))</f>
        <v/>
      </c>
    </row>
    <row r="388" spans="1:7" ht="15" x14ac:dyDescent="0.2">
      <c r="A388" s="79"/>
      <c r="B388" s="79"/>
      <c r="C388" s="79"/>
      <c r="D388" s="55" t="str">
        <f t="shared" si="24"/>
        <v/>
      </c>
      <c r="E388" s="56" t="str">
        <f t="shared" ref="E388:E451" si="27">IFERROR(IF(B388="","",IF(B388=0,"",IF(B388="","",(C388/B388)-1))),"")</f>
        <v/>
      </c>
      <c r="F388" s="55" t="str">
        <f t="shared" si="25"/>
        <v/>
      </c>
      <c r="G388" s="55" t="str">
        <f t="shared" si="26"/>
        <v/>
      </c>
    </row>
    <row r="389" spans="1:7" ht="15" x14ac:dyDescent="0.2">
      <c r="A389" s="79"/>
      <c r="B389" s="79"/>
      <c r="C389" s="79"/>
      <c r="D389" s="55" t="str">
        <f t="shared" si="24"/>
        <v/>
      </c>
      <c r="E389" s="56" t="str">
        <f t="shared" si="27"/>
        <v/>
      </c>
      <c r="F389" s="55" t="str">
        <f t="shared" si="25"/>
        <v/>
      </c>
      <c r="G389" s="55" t="str">
        <f t="shared" si="26"/>
        <v/>
      </c>
    </row>
    <row r="390" spans="1:7" ht="15" x14ac:dyDescent="0.2">
      <c r="A390" s="79"/>
      <c r="B390" s="79"/>
      <c r="C390" s="79"/>
      <c r="D390" s="55" t="str">
        <f t="shared" si="24"/>
        <v/>
      </c>
      <c r="E390" s="56" t="str">
        <f t="shared" si="27"/>
        <v/>
      </c>
      <c r="F390" s="55" t="str">
        <f t="shared" si="25"/>
        <v/>
      </c>
      <c r="G390" s="55" t="str">
        <f t="shared" si="26"/>
        <v/>
      </c>
    </row>
    <row r="391" spans="1:7" ht="15" x14ac:dyDescent="0.2">
      <c r="A391" s="79"/>
      <c r="B391" s="79"/>
      <c r="C391" s="79"/>
      <c r="D391" s="55" t="str">
        <f t="shared" si="24"/>
        <v/>
      </c>
      <c r="E391" s="56" t="str">
        <f t="shared" si="27"/>
        <v/>
      </c>
      <c r="F391" s="55" t="str">
        <f t="shared" si="25"/>
        <v/>
      </c>
      <c r="G391" s="55" t="str">
        <f t="shared" si="26"/>
        <v/>
      </c>
    </row>
    <row r="392" spans="1:7" ht="15" x14ac:dyDescent="0.2">
      <c r="A392" s="79"/>
      <c r="B392" s="79"/>
      <c r="C392" s="79"/>
      <c r="D392" s="55" t="str">
        <f t="shared" si="24"/>
        <v/>
      </c>
      <c r="E392" s="56" t="str">
        <f t="shared" si="27"/>
        <v/>
      </c>
      <c r="F392" s="55" t="str">
        <f t="shared" si="25"/>
        <v/>
      </c>
      <c r="G392" s="55" t="str">
        <f t="shared" si="26"/>
        <v/>
      </c>
    </row>
    <row r="393" spans="1:7" ht="15" customHeight="1" x14ac:dyDescent="0.2">
      <c r="A393" s="79"/>
      <c r="B393" s="79"/>
      <c r="C393" s="79"/>
      <c r="D393" s="55" t="str">
        <f t="shared" si="24"/>
        <v/>
      </c>
      <c r="E393" s="56" t="str">
        <f t="shared" si="27"/>
        <v/>
      </c>
      <c r="F393" s="55" t="str">
        <f t="shared" si="25"/>
        <v/>
      </c>
      <c r="G393" s="55" t="str">
        <f t="shared" si="26"/>
        <v/>
      </c>
    </row>
    <row r="394" spans="1:7" ht="15" x14ac:dyDescent="0.2">
      <c r="A394" s="79"/>
      <c r="B394" s="79"/>
      <c r="C394" s="79"/>
      <c r="D394" s="55" t="str">
        <f t="shared" si="24"/>
        <v/>
      </c>
      <c r="E394" s="56" t="str">
        <f t="shared" si="27"/>
        <v/>
      </c>
      <c r="F394" s="55" t="str">
        <f t="shared" si="25"/>
        <v/>
      </c>
      <c r="G394" s="55" t="str">
        <f t="shared" si="26"/>
        <v/>
      </c>
    </row>
    <row r="395" spans="1:7" ht="15" x14ac:dyDescent="0.2">
      <c r="A395" s="79"/>
      <c r="B395" s="79"/>
      <c r="C395" s="79"/>
      <c r="D395" s="55" t="str">
        <f t="shared" si="24"/>
        <v/>
      </c>
      <c r="E395" s="56" t="str">
        <f t="shared" si="27"/>
        <v/>
      </c>
      <c r="F395" s="55" t="str">
        <f t="shared" si="25"/>
        <v/>
      </c>
      <c r="G395" s="55" t="str">
        <f t="shared" si="26"/>
        <v/>
      </c>
    </row>
    <row r="396" spans="1:7" ht="15" x14ac:dyDescent="0.2">
      <c r="A396" s="79"/>
      <c r="B396" s="79"/>
      <c r="C396" s="79"/>
      <c r="D396" s="55" t="str">
        <f t="shared" si="24"/>
        <v/>
      </c>
      <c r="E396" s="56" t="str">
        <f t="shared" si="27"/>
        <v/>
      </c>
      <c r="F396" s="55" t="str">
        <f t="shared" si="25"/>
        <v/>
      </c>
      <c r="G396" s="55" t="str">
        <f t="shared" si="26"/>
        <v/>
      </c>
    </row>
    <row r="397" spans="1:7" ht="15" x14ac:dyDescent="0.2">
      <c r="A397" s="79"/>
      <c r="B397" s="79"/>
      <c r="C397" s="79"/>
      <c r="D397" s="55" t="str">
        <f t="shared" si="24"/>
        <v/>
      </c>
      <c r="E397" s="56" t="str">
        <f t="shared" si="27"/>
        <v/>
      </c>
      <c r="F397" s="55" t="str">
        <f t="shared" si="25"/>
        <v/>
      </c>
      <c r="G397" s="55" t="str">
        <f t="shared" si="26"/>
        <v/>
      </c>
    </row>
    <row r="398" spans="1:7" ht="15" x14ac:dyDescent="0.2">
      <c r="A398" s="79"/>
      <c r="B398" s="79"/>
      <c r="C398" s="79"/>
      <c r="D398" s="55" t="str">
        <f t="shared" si="24"/>
        <v/>
      </c>
      <c r="E398" s="56" t="str">
        <f t="shared" si="27"/>
        <v/>
      </c>
      <c r="F398" s="55" t="str">
        <f t="shared" si="25"/>
        <v/>
      </c>
      <c r="G398" s="55" t="str">
        <f t="shared" si="26"/>
        <v/>
      </c>
    </row>
    <row r="399" spans="1:7" ht="15" x14ac:dyDescent="0.2">
      <c r="A399" s="79"/>
      <c r="B399" s="79"/>
      <c r="C399" s="79"/>
      <c r="D399" s="55" t="str">
        <f t="shared" si="24"/>
        <v/>
      </c>
      <c r="E399" s="56" t="str">
        <f t="shared" si="27"/>
        <v/>
      </c>
      <c r="F399" s="55" t="str">
        <f t="shared" si="25"/>
        <v/>
      </c>
      <c r="G399" s="55" t="str">
        <f t="shared" si="26"/>
        <v/>
      </c>
    </row>
    <row r="400" spans="1:7" ht="15" x14ac:dyDescent="0.2">
      <c r="A400" s="79"/>
      <c r="B400" s="79"/>
      <c r="C400" s="79"/>
      <c r="D400" s="55" t="str">
        <f t="shared" si="24"/>
        <v/>
      </c>
      <c r="E400" s="56" t="str">
        <f t="shared" si="27"/>
        <v/>
      </c>
      <c r="F400" s="55" t="str">
        <f t="shared" si="25"/>
        <v/>
      </c>
      <c r="G400" s="55" t="str">
        <f t="shared" si="26"/>
        <v/>
      </c>
    </row>
    <row r="401" spans="1:7" ht="15" x14ac:dyDescent="0.2">
      <c r="A401" s="79"/>
      <c r="B401" s="79"/>
      <c r="C401" s="79"/>
      <c r="D401" s="55" t="str">
        <f t="shared" si="24"/>
        <v/>
      </c>
      <c r="E401" s="56" t="str">
        <f t="shared" si="27"/>
        <v/>
      </c>
      <c r="F401" s="55" t="str">
        <f t="shared" si="25"/>
        <v/>
      </c>
      <c r="G401" s="55" t="str">
        <f t="shared" si="26"/>
        <v/>
      </c>
    </row>
    <row r="402" spans="1:7" ht="15" x14ac:dyDescent="0.2">
      <c r="A402" s="79"/>
      <c r="B402" s="79"/>
      <c r="C402" s="79"/>
      <c r="D402" s="55" t="str">
        <f t="shared" si="24"/>
        <v/>
      </c>
      <c r="E402" s="56" t="str">
        <f t="shared" si="27"/>
        <v/>
      </c>
      <c r="F402" s="55" t="str">
        <f t="shared" si="25"/>
        <v/>
      </c>
      <c r="G402" s="55" t="str">
        <f t="shared" si="26"/>
        <v/>
      </c>
    </row>
    <row r="403" spans="1:7" ht="15" x14ac:dyDescent="0.2">
      <c r="A403" s="79"/>
      <c r="B403" s="79"/>
      <c r="C403" s="79"/>
      <c r="D403" s="55" t="str">
        <f t="shared" si="24"/>
        <v/>
      </c>
      <c r="E403" s="56" t="str">
        <f t="shared" si="27"/>
        <v/>
      </c>
      <c r="F403" s="55" t="str">
        <f t="shared" si="25"/>
        <v/>
      </c>
      <c r="G403" s="55" t="str">
        <f t="shared" si="26"/>
        <v/>
      </c>
    </row>
    <row r="404" spans="1:7" ht="15" x14ac:dyDescent="0.2">
      <c r="A404" s="79"/>
      <c r="B404" s="79"/>
      <c r="C404" s="79"/>
      <c r="D404" s="55" t="str">
        <f t="shared" si="24"/>
        <v/>
      </c>
      <c r="E404" s="56" t="str">
        <f t="shared" si="27"/>
        <v/>
      </c>
      <c r="F404" s="55" t="str">
        <f t="shared" si="25"/>
        <v/>
      </c>
      <c r="G404" s="55" t="str">
        <f t="shared" si="26"/>
        <v/>
      </c>
    </row>
    <row r="405" spans="1:7" ht="15" x14ac:dyDescent="0.2">
      <c r="A405" s="79"/>
      <c r="B405" s="79"/>
      <c r="C405" s="79"/>
      <c r="D405" s="55" t="str">
        <f t="shared" si="24"/>
        <v/>
      </c>
      <c r="E405" s="56" t="str">
        <f t="shared" si="27"/>
        <v/>
      </c>
      <c r="F405" s="55" t="str">
        <f t="shared" si="25"/>
        <v/>
      </c>
      <c r="G405" s="55" t="str">
        <f t="shared" si="26"/>
        <v/>
      </c>
    </row>
    <row r="406" spans="1:7" ht="15" x14ac:dyDescent="0.2">
      <c r="A406" s="79"/>
      <c r="B406" s="79"/>
      <c r="C406" s="79"/>
      <c r="D406" s="55" t="str">
        <f t="shared" si="24"/>
        <v/>
      </c>
      <c r="E406" s="56" t="str">
        <f t="shared" si="27"/>
        <v/>
      </c>
      <c r="F406" s="55" t="str">
        <f t="shared" si="25"/>
        <v/>
      </c>
      <c r="G406" s="55" t="str">
        <f t="shared" si="26"/>
        <v/>
      </c>
    </row>
    <row r="407" spans="1:7" ht="15" x14ac:dyDescent="0.2">
      <c r="A407" s="79"/>
      <c r="B407" s="79"/>
      <c r="C407" s="79"/>
      <c r="D407" s="55" t="str">
        <f t="shared" si="24"/>
        <v/>
      </c>
      <c r="E407" s="56" t="str">
        <f t="shared" si="27"/>
        <v/>
      </c>
      <c r="F407" s="55" t="str">
        <f t="shared" si="25"/>
        <v/>
      </c>
      <c r="G407" s="55" t="str">
        <f t="shared" si="26"/>
        <v/>
      </c>
    </row>
    <row r="408" spans="1:7" ht="15" x14ac:dyDescent="0.2">
      <c r="A408" s="79"/>
      <c r="B408" s="79"/>
      <c r="C408" s="79"/>
      <c r="D408" s="55" t="str">
        <f t="shared" si="24"/>
        <v/>
      </c>
      <c r="E408" s="56" t="str">
        <f t="shared" si="27"/>
        <v/>
      </c>
      <c r="F408" s="55" t="str">
        <f t="shared" si="25"/>
        <v/>
      </c>
      <c r="G408" s="55" t="str">
        <f t="shared" si="26"/>
        <v/>
      </c>
    </row>
    <row r="409" spans="1:7" ht="15" x14ac:dyDescent="0.2">
      <c r="A409" s="79"/>
      <c r="B409" s="79"/>
      <c r="C409" s="79"/>
      <c r="D409" s="55" t="str">
        <f t="shared" si="24"/>
        <v/>
      </c>
      <c r="E409" s="56" t="str">
        <f t="shared" si="27"/>
        <v/>
      </c>
      <c r="F409" s="55" t="str">
        <f t="shared" si="25"/>
        <v/>
      </c>
      <c r="G409" s="55" t="str">
        <f t="shared" si="26"/>
        <v/>
      </c>
    </row>
    <row r="410" spans="1:7" ht="15" x14ac:dyDescent="0.2">
      <c r="A410" s="79"/>
      <c r="B410" s="79"/>
      <c r="C410" s="79"/>
      <c r="D410" s="55" t="str">
        <f t="shared" si="24"/>
        <v/>
      </c>
      <c r="E410" s="56" t="str">
        <f t="shared" si="27"/>
        <v/>
      </c>
      <c r="F410" s="55" t="str">
        <f t="shared" si="25"/>
        <v/>
      </c>
      <c r="G410" s="55" t="str">
        <f t="shared" si="26"/>
        <v/>
      </c>
    </row>
    <row r="411" spans="1:7" ht="15" x14ac:dyDescent="0.2">
      <c r="A411" s="79"/>
      <c r="B411" s="79"/>
      <c r="C411" s="79"/>
      <c r="D411" s="55" t="str">
        <f t="shared" si="24"/>
        <v/>
      </c>
      <c r="E411" s="56" t="str">
        <f t="shared" si="27"/>
        <v/>
      </c>
      <c r="F411" s="55" t="str">
        <f t="shared" si="25"/>
        <v/>
      </c>
      <c r="G411" s="55" t="str">
        <f t="shared" si="26"/>
        <v/>
      </c>
    </row>
    <row r="412" spans="1:7" ht="15" x14ac:dyDescent="0.2">
      <c r="A412" s="79"/>
      <c r="B412" s="79"/>
      <c r="C412" s="79"/>
      <c r="D412" s="55" t="str">
        <f t="shared" si="24"/>
        <v/>
      </c>
      <c r="E412" s="56" t="str">
        <f t="shared" si="27"/>
        <v/>
      </c>
      <c r="F412" s="55" t="str">
        <f t="shared" si="25"/>
        <v/>
      </c>
      <c r="G412" s="55" t="str">
        <f t="shared" si="26"/>
        <v/>
      </c>
    </row>
    <row r="413" spans="1:7" ht="15" x14ac:dyDescent="0.2">
      <c r="A413" s="79"/>
      <c r="B413" s="79"/>
      <c r="C413" s="79"/>
      <c r="D413" s="55" t="str">
        <f t="shared" si="24"/>
        <v/>
      </c>
      <c r="E413" s="56" t="str">
        <f t="shared" si="27"/>
        <v/>
      </c>
      <c r="F413" s="55" t="str">
        <f t="shared" si="25"/>
        <v/>
      </c>
      <c r="G413" s="55" t="str">
        <f t="shared" si="26"/>
        <v/>
      </c>
    </row>
    <row r="414" spans="1:7" ht="15" x14ac:dyDescent="0.2">
      <c r="A414" s="79"/>
      <c r="B414" s="79"/>
      <c r="C414" s="79"/>
      <c r="D414" s="55" t="str">
        <f t="shared" si="24"/>
        <v/>
      </c>
      <c r="E414" s="56" t="str">
        <f t="shared" si="27"/>
        <v/>
      </c>
      <c r="F414" s="55" t="str">
        <f t="shared" si="25"/>
        <v/>
      </c>
      <c r="G414" s="55" t="str">
        <f t="shared" si="26"/>
        <v/>
      </c>
    </row>
    <row r="415" spans="1:7" ht="15" customHeight="1" x14ac:dyDescent="0.2">
      <c r="A415" s="79"/>
      <c r="B415" s="79"/>
      <c r="C415" s="79"/>
      <c r="D415" s="55" t="str">
        <f t="shared" si="24"/>
        <v/>
      </c>
      <c r="E415" s="56" t="str">
        <f t="shared" si="27"/>
        <v/>
      </c>
      <c r="F415" s="55" t="str">
        <f t="shared" si="25"/>
        <v/>
      </c>
      <c r="G415" s="55" t="str">
        <f t="shared" si="26"/>
        <v/>
      </c>
    </row>
    <row r="416" spans="1:7" ht="15" x14ac:dyDescent="0.2">
      <c r="A416" s="79"/>
      <c r="B416" s="79"/>
      <c r="C416" s="79"/>
      <c r="D416" s="55" t="str">
        <f t="shared" si="24"/>
        <v/>
      </c>
      <c r="E416" s="56" t="str">
        <f t="shared" si="27"/>
        <v/>
      </c>
      <c r="F416" s="55" t="str">
        <f t="shared" si="25"/>
        <v/>
      </c>
      <c r="G416" s="55" t="str">
        <f t="shared" si="26"/>
        <v/>
      </c>
    </row>
    <row r="417" spans="1:7" ht="15" x14ac:dyDescent="0.2">
      <c r="A417" s="79"/>
      <c r="B417" s="79"/>
      <c r="C417" s="79"/>
      <c r="D417" s="55" t="str">
        <f t="shared" si="24"/>
        <v/>
      </c>
      <c r="E417" s="56" t="str">
        <f t="shared" si="27"/>
        <v/>
      </c>
      <c r="F417" s="55" t="str">
        <f t="shared" si="25"/>
        <v/>
      </c>
      <c r="G417" s="55" t="str">
        <f t="shared" si="26"/>
        <v/>
      </c>
    </row>
    <row r="418" spans="1:7" ht="15" x14ac:dyDescent="0.2">
      <c r="A418" s="79"/>
      <c r="B418" s="79"/>
      <c r="C418" s="79"/>
      <c r="D418" s="55" t="str">
        <f t="shared" si="24"/>
        <v/>
      </c>
      <c r="E418" s="56" t="str">
        <f t="shared" si="27"/>
        <v/>
      </c>
      <c r="F418" s="55" t="str">
        <f t="shared" si="25"/>
        <v/>
      </c>
      <c r="G418" s="55" t="str">
        <f t="shared" si="26"/>
        <v/>
      </c>
    </row>
    <row r="419" spans="1:7" ht="15" x14ac:dyDescent="0.2">
      <c r="A419" s="79"/>
      <c r="B419" s="79"/>
      <c r="C419" s="79"/>
      <c r="D419" s="55" t="str">
        <f t="shared" si="24"/>
        <v/>
      </c>
      <c r="E419" s="56" t="str">
        <f t="shared" si="27"/>
        <v/>
      </c>
      <c r="F419" s="55" t="str">
        <f t="shared" si="25"/>
        <v/>
      </c>
      <c r="G419" s="55" t="str">
        <f t="shared" si="26"/>
        <v/>
      </c>
    </row>
    <row r="420" spans="1:7" ht="15" x14ac:dyDescent="0.2">
      <c r="A420" s="79"/>
      <c r="B420" s="79"/>
      <c r="C420" s="79"/>
      <c r="D420" s="55" t="str">
        <f t="shared" si="24"/>
        <v/>
      </c>
      <c r="E420" s="56" t="str">
        <f t="shared" si="27"/>
        <v/>
      </c>
      <c r="F420" s="55" t="str">
        <f t="shared" si="25"/>
        <v/>
      </c>
      <c r="G420" s="55" t="str">
        <f t="shared" si="26"/>
        <v/>
      </c>
    </row>
    <row r="421" spans="1:7" ht="15" x14ac:dyDescent="0.2">
      <c r="A421" s="79"/>
      <c r="B421" s="79"/>
      <c r="C421" s="79"/>
      <c r="D421" s="55" t="str">
        <f t="shared" si="24"/>
        <v/>
      </c>
      <c r="E421" s="56" t="str">
        <f t="shared" si="27"/>
        <v/>
      </c>
      <c r="F421" s="55" t="str">
        <f t="shared" si="25"/>
        <v/>
      </c>
      <c r="G421" s="55" t="str">
        <f t="shared" si="26"/>
        <v/>
      </c>
    </row>
    <row r="422" spans="1:7" ht="15" customHeight="1" x14ac:dyDescent="0.2">
      <c r="A422" s="79"/>
      <c r="B422" s="79"/>
      <c r="C422" s="79"/>
      <c r="D422" s="55" t="str">
        <f t="shared" si="24"/>
        <v/>
      </c>
      <c r="E422" s="56" t="str">
        <f t="shared" si="27"/>
        <v/>
      </c>
      <c r="F422" s="55" t="str">
        <f t="shared" si="25"/>
        <v/>
      </c>
      <c r="G422" s="55" t="str">
        <f t="shared" si="26"/>
        <v/>
      </c>
    </row>
    <row r="423" spans="1:7" ht="15" customHeight="1" x14ac:dyDescent="0.2">
      <c r="A423" s="79"/>
      <c r="B423" s="79"/>
      <c r="C423" s="79"/>
      <c r="D423" s="55" t="str">
        <f t="shared" si="24"/>
        <v/>
      </c>
      <c r="E423" s="56" t="str">
        <f t="shared" si="27"/>
        <v/>
      </c>
      <c r="F423" s="55" t="str">
        <f t="shared" si="25"/>
        <v/>
      </c>
      <c r="G423" s="55" t="str">
        <f t="shared" si="26"/>
        <v/>
      </c>
    </row>
    <row r="424" spans="1:7" ht="15" customHeight="1" x14ac:dyDescent="0.2">
      <c r="A424" s="79"/>
      <c r="B424" s="79"/>
      <c r="C424" s="79"/>
      <c r="D424" s="55" t="str">
        <f t="shared" si="24"/>
        <v/>
      </c>
      <c r="E424" s="56" t="str">
        <f t="shared" si="27"/>
        <v/>
      </c>
      <c r="F424" s="55" t="str">
        <f t="shared" si="25"/>
        <v/>
      </c>
      <c r="G424" s="55" t="str">
        <f t="shared" si="26"/>
        <v/>
      </c>
    </row>
    <row r="425" spans="1:7" ht="15" x14ac:dyDescent="0.2">
      <c r="A425" s="79"/>
      <c r="B425" s="79"/>
      <c r="C425" s="79"/>
      <c r="D425" s="55" t="str">
        <f t="shared" si="24"/>
        <v/>
      </c>
      <c r="E425" s="56" t="str">
        <f t="shared" si="27"/>
        <v/>
      </c>
      <c r="F425" s="55" t="str">
        <f t="shared" si="25"/>
        <v/>
      </c>
      <c r="G425" s="55" t="str">
        <f t="shared" si="26"/>
        <v/>
      </c>
    </row>
    <row r="426" spans="1:7" ht="15" x14ac:dyDescent="0.2">
      <c r="A426" s="79"/>
      <c r="B426" s="79"/>
      <c r="C426" s="79"/>
      <c r="D426" s="55" t="str">
        <f t="shared" si="24"/>
        <v/>
      </c>
      <c r="E426" s="56" t="str">
        <f t="shared" si="27"/>
        <v/>
      </c>
      <c r="F426" s="55" t="str">
        <f t="shared" si="25"/>
        <v/>
      </c>
      <c r="G426" s="55" t="str">
        <f t="shared" si="26"/>
        <v/>
      </c>
    </row>
    <row r="427" spans="1:7" ht="15" x14ac:dyDescent="0.2">
      <c r="A427" s="79"/>
      <c r="B427" s="79"/>
      <c r="C427" s="79"/>
      <c r="D427" s="55" t="str">
        <f t="shared" si="24"/>
        <v/>
      </c>
      <c r="E427" s="56" t="str">
        <f t="shared" si="27"/>
        <v/>
      </c>
      <c r="F427" s="55" t="str">
        <f t="shared" si="25"/>
        <v/>
      </c>
      <c r="G427" s="55" t="str">
        <f t="shared" si="26"/>
        <v/>
      </c>
    </row>
    <row r="428" spans="1:7" ht="15" x14ac:dyDescent="0.2">
      <c r="A428" s="79"/>
      <c r="B428" s="79"/>
      <c r="C428" s="79"/>
      <c r="D428" s="55" t="str">
        <f t="shared" si="24"/>
        <v/>
      </c>
      <c r="E428" s="56" t="str">
        <f t="shared" si="27"/>
        <v/>
      </c>
      <c r="F428" s="55" t="str">
        <f t="shared" si="25"/>
        <v/>
      </c>
      <c r="G428" s="55" t="str">
        <f t="shared" si="26"/>
        <v/>
      </c>
    </row>
    <row r="429" spans="1:7" ht="15" x14ac:dyDescent="0.2">
      <c r="A429" s="79"/>
      <c r="B429" s="79"/>
      <c r="C429" s="79"/>
      <c r="D429" s="55" t="str">
        <f t="shared" si="24"/>
        <v/>
      </c>
      <c r="E429" s="56" t="str">
        <f t="shared" si="27"/>
        <v/>
      </c>
      <c r="F429" s="55" t="str">
        <f t="shared" si="25"/>
        <v/>
      </c>
      <c r="G429" s="55" t="str">
        <f t="shared" si="26"/>
        <v/>
      </c>
    </row>
    <row r="430" spans="1:7" ht="15" x14ac:dyDescent="0.2">
      <c r="A430" s="79"/>
      <c r="B430" s="79"/>
      <c r="C430" s="79"/>
      <c r="D430" s="55" t="str">
        <f t="shared" si="24"/>
        <v/>
      </c>
      <c r="E430" s="56" t="str">
        <f t="shared" si="27"/>
        <v/>
      </c>
      <c r="F430" s="55" t="str">
        <f t="shared" si="25"/>
        <v/>
      </c>
      <c r="G430" s="55" t="str">
        <f t="shared" si="26"/>
        <v/>
      </c>
    </row>
    <row r="431" spans="1:7" ht="15" x14ac:dyDescent="0.2">
      <c r="A431" s="79"/>
      <c r="B431" s="79"/>
      <c r="C431" s="79"/>
      <c r="D431" s="55" t="str">
        <f t="shared" si="24"/>
        <v/>
      </c>
      <c r="E431" s="56" t="str">
        <f t="shared" si="27"/>
        <v/>
      </c>
      <c r="F431" s="55" t="str">
        <f t="shared" si="25"/>
        <v/>
      </c>
      <c r="G431" s="55" t="str">
        <f t="shared" si="26"/>
        <v/>
      </c>
    </row>
    <row r="432" spans="1:7" ht="15" x14ac:dyDescent="0.2">
      <c r="A432" s="79"/>
      <c r="B432" s="79"/>
      <c r="C432" s="79"/>
      <c r="D432" s="55" t="str">
        <f t="shared" si="24"/>
        <v/>
      </c>
      <c r="E432" s="56" t="str">
        <f t="shared" si="27"/>
        <v/>
      </c>
      <c r="F432" s="55" t="str">
        <f t="shared" si="25"/>
        <v/>
      </c>
      <c r="G432" s="55" t="str">
        <f t="shared" si="26"/>
        <v/>
      </c>
    </row>
    <row r="433" spans="1:7" ht="15" x14ac:dyDescent="0.2">
      <c r="A433" s="79"/>
      <c r="B433" s="79"/>
      <c r="C433" s="79"/>
      <c r="D433" s="55" t="str">
        <f t="shared" si="24"/>
        <v/>
      </c>
      <c r="E433" s="56" t="str">
        <f t="shared" si="27"/>
        <v/>
      </c>
      <c r="F433" s="55" t="str">
        <f t="shared" si="25"/>
        <v/>
      </c>
      <c r="G433" s="55" t="str">
        <f t="shared" si="26"/>
        <v/>
      </c>
    </row>
    <row r="434" spans="1:7" ht="15" x14ac:dyDescent="0.2">
      <c r="A434" s="79"/>
      <c r="B434" s="79"/>
      <c r="C434" s="79"/>
      <c r="D434" s="55" t="str">
        <f t="shared" si="24"/>
        <v/>
      </c>
      <c r="E434" s="56" t="str">
        <f t="shared" si="27"/>
        <v/>
      </c>
      <c r="F434" s="55" t="str">
        <f t="shared" si="25"/>
        <v/>
      </c>
      <c r="G434" s="55" t="str">
        <f t="shared" si="26"/>
        <v/>
      </c>
    </row>
    <row r="435" spans="1:7" ht="15" customHeight="1" x14ac:dyDescent="0.2">
      <c r="A435" s="79"/>
      <c r="B435" s="79"/>
      <c r="C435" s="79"/>
      <c r="D435" s="55" t="str">
        <f t="shared" si="24"/>
        <v/>
      </c>
      <c r="E435" s="56" t="str">
        <f t="shared" si="27"/>
        <v/>
      </c>
      <c r="F435" s="55" t="str">
        <f t="shared" si="25"/>
        <v/>
      </c>
      <c r="G435" s="55" t="str">
        <f t="shared" si="26"/>
        <v/>
      </c>
    </row>
    <row r="436" spans="1:7" ht="15" x14ac:dyDescent="0.2">
      <c r="A436" s="79"/>
      <c r="B436" s="79"/>
      <c r="C436" s="79"/>
      <c r="D436" s="55" t="str">
        <f t="shared" si="24"/>
        <v/>
      </c>
      <c r="E436" s="56" t="str">
        <f t="shared" si="27"/>
        <v/>
      </c>
      <c r="F436" s="55" t="str">
        <f t="shared" si="25"/>
        <v/>
      </c>
      <c r="G436" s="55" t="str">
        <f t="shared" si="26"/>
        <v/>
      </c>
    </row>
    <row r="437" spans="1:7" ht="15" x14ac:dyDescent="0.2">
      <c r="A437" s="79"/>
      <c r="B437" s="79"/>
      <c r="C437" s="79"/>
      <c r="D437" s="55" t="str">
        <f t="shared" si="24"/>
        <v/>
      </c>
      <c r="E437" s="56" t="str">
        <f t="shared" si="27"/>
        <v/>
      </c>
      <c r="F437" s="55" t="str">
        <f t="shared" si="25"/>
        <v/>
      </c>
      <c r="G437" s="55" t="str">
        <f t="shared" si="26"/>
        <v/>
      </c>
    </row>
    <row r="438" spans="1:7" ht="15" x14ac:dyDescent="0.2">
      <c r="A438" s="79"/>
      <c r="B438" s="79"/>
      <c r="C438" s="79"/>
      <c r="D438" s="55" t="str">
        <f t="shared" si="24"/>
        <v/>
      </c>
      <c r="E438" s="56" t="str">
        <f t="shared" si="27"/>
        <v/>
      </c>
      <c r="F438" s="55" t="str">
        <f t="shared" si="25"/>
        <v/>
      </c>
      <c r="G438" s="55" t="str">
        <f t="shared" si="26"/>
        <v/>
      </c>
    </row>
    <row r="439" spans="1:7" ht="15" customHeight="1" x14ac:dyDescent="0.2">
      <c r="A439" s="79"/>
      <c r="B439" s="79"/>
      <c r="C439" s="79"/>
      <c r="D439" s="55" t="str">
        <f t="shared" si="24"/>
        <v/>
      </c>
      <c r="E439" s="56" t="str">
        <f t="shared" si="27"/>
        <v/>
      </c>
      <c r="F439" s="55" t="str">
        <f t="shared" si="25"/>
        <v/>
      </c>
      <c r="G439" s="55" t="str">
        <f t="shared" si="26"/>
        <v/>
      </c>
    </row>
    <row r="440" spans="1:7" ht="15" x14ac:dyDescent="0.2">
      <c r="A440" s="79"/>
      <c r="B440" s="79"/>
      <c r="C440" s="79"/>
      <c r="D440" s="55" t="str">
        <f t="shared" si="24"/>
        <v/>
      </c>
      <c r="E440" s="56" t="str">
        <f t="shared" si="27"/>
        <v/>
      </c>
      <c r="F440" s="55" t="str">
        <f t="shared" si="25"/>
        <v/>
      </c>
      <c r="G440" s="55" t="str">
        <f t="shared" si="26"/>
        <v/>
      </c>
    </row>
    <row r="441" spans="1:7" ht="15" x14ac:dyDescent="0.2">
      <c r="A441" s="79"/>
      <c r="B441" s="79"/>
      <c r="C441" s="79"/>
      <c r="D441" s="55" t="str">
        <f t="shared" si="24"/>
        <v/>
      </c>
      <c r="E441" s="56" t="str">
        <f t="shared" si="27"/>
        <v/>
      </c>
      <c r="F441" s="55" t="str">
        <f t="shared" si="25"/>
        <v/>
      </c>
      <c r="G441" s="55" t="str">
        <f t="shared" si="26"/>
        <v/>
      </c>
    </row>
    <row r="442" spans="1:7" ht="15" x14ac:dyDescent="0.2">
      <c r="A442" s="79"/>
      <c r="B442" s="79"/>
      <c r="C442" s="79"/>
      <c r="D442" s="55" t="str">
        <f t="shared" si="24"/>
        <v/>
      </c>
      <c r="E442" s="56" t="str">
        <f t="shared" si="27"/>
        <v/>
      </c>
      <c r="F442" s="55" t="str">
        <f t="shared" si="25"/>
        <v/>
      </c>
      <c r="G442" s="55" t="str">
        <f t="shared" si="26"/>
        <v/>
      </c>
    </row>
    <row r="443" spans="1:7" ht="15" customHeight="1" x14ac:dyDescent="0.2">
      <c r="A443" s="79"/>
      <c r="B443" s="79"/>
      <c r="C443" s="79"/>
      <c r="D443" s="55" t="str">
        <f t="shared" si="24"/>
        <v/>
      </c>
      <c r="E443" s="56" t="str">
        <f t="shared" si="27"/>
        <v/>
      </c>
      <c r="F443" s="55" t="str">
        <f t="shared" si="25"/>
        <v/>
      </c>
      <c r="G443" s="55" t="str">
        <f t="shared" si="26"/>
        <v/>
      </c>
    </row>
    <row r="444" spans="1:7" ht="15" x14ac:dyDescent="0.2">
      <c r="A444" s="79"/>
      <c r="B444" s="79"/>
      <c r="C444" s="79"/>
      <c r="D444" s="55" t="str">
        <f t="shared" si="24"/>
        <v/>
      </c>
      <c r="E444" s="56" t="str">
        <f t="shared" si="27"/>
        <v/>
      </c>
      <c r="F444" s="55" t="str">
        <f t="shared" si="25"/>
        <v/>
      </c>
      <c r="G444" s="55" t="str">
        <f t="shared" si="26"/>
        <v/>
      </c>
    </row>
    <row r="445" spans="1:7" ht="15" customHeight="1" x14ac:dyDescent="0.2">
      <c r="A445" s="79"/>
      <c r="B445" s="79"/>
      <c r="C445" s="79"/>
      <c r="D445" s="55" t="str">
        <f t="shared" si="24"/>
        <v/>
      </c>
      <c r="E445" s="56" t="str">
        <f t="shared" si="27"/>
        <v/>
      </c>
      <c r="F445" s="55" t="str">
        <f t="shared" si="25"/>
        <v/>
      </c>
      <c r="G445" s="55" t="str">
        <f t="shared" si="26"/>
        <v/>
      </c>
    </row>
    <row r="446" spans="1:7" ht="15" customHeight="1" x14ac:dyDescent="0.2">
      <c r="A446" s="79"/>
      <c r="B446" s="79"/>
      <c r="C446" s="79"/>
      <c r="D446" s="55" t="str">
        <f t="shared" si="24"/>
        <v/>
      </c>
      <c r="E446" s="56" t="str">
        <f t="shared" si="27"/>
        <v/>
      </c>
      <c r="F446" s="55" t="str">
        <f t="shared" si="25"/>
        <v/>
      </c>
      <c r="G446" s="55" t="str">
        <f t="shared" si="26"/>
        <v/>
      </c>
    </row>
    <row r="447" spans="1:7" ht="15" x14ac:dyDescent="0.2">
      <c r="A447" s="79"/>
      <c r="B447" s="79"/>
      <c r="C447" s="79"/>
      <c r="D447" s="55" t="str">
        <f t="shared" si="24"/>
        <v/>
      </c>
      <c r="E447" s="56" t="str">
        <f t="shared" si="27"/>
        <v/>
      </c>
      <c r="F447" s="55" t="str">
        <f t="shared" si="25"/>
        <v/>
      </c>
      <c r="G447" s="55" t="str">
        <f t="shared" si="26"/>
        <v/>
      </c>
    </row>
    <row r="448" spans="1:7" ht="15" x14ac:dyDescent="0.2">
      <c r="A448" s="79"/>
      <c r="B448" s="79"/>
      <c r="C448" s="79"/>
      <c r="D448" s="55" t="str">
        <f t="shared" si="24"/>
        <v/>
      </c>
      <c r="E448" s="56" t="str">
        <f t="shared" si="27"/>
        <v/>
      </c>
      <c r="F448" s="55" t="str">
        <f t="shared" si="25"/>
        <v/>
      </c>
      <c r="G448" s="55" t="str">
        <f t="shared" si="26"/>
        <v/>
      </c>
    </row>
    <row r="449" spans="1:7" ht="15" x14ac:dyDescent="0.2">
      <c r="A449" s="79"/>
      <c r="B449" s="79"/>
      <c r="C449" s="79"/>
      <c r="D449" s="55" t="str">
        <f t="shared" si="24"/>
        <v/>
      </c>
      <c r="E449" s="56" t="str">
        <f t="shared" si="27"/>
        <v/>
      </c>
      <c r="F449" s="55" t="str">
        <f t="shared" si="25"/>
        <v/>
      </c>
      <c r="G449" s="55" t="str">
        <f t="shared" si="26"/>
        <v/>
      </c>
    </row>
    <row r="450" spans="1:7" ht="15" x14ac:dyDescent="0.2">
      <c r="A450" s="79"/>
      <c r="B450" s="79"/>
      <c r="C450" s="79"/>
      <c r="D450" s="55" t="str">
        <f t="shared" si="24"/>
        <v/>
      </c>
      <c r="E450" s="56" t="str">
        <f t="shared" si="27"/>
        <v/>
      </c>
      <c r="F450" s="55" t="str">
        <f t="shared" si="25"/>
        <v/>
      </c>
      <c r="G450" s="55" t="str">
        <f t="shared" si="26"/>
        <v/>
      </c>
    </row>
    <row r="451" spans="1:7" ht="15" customHeight="1" x14ac:dyDescent="0.2">
      <c r="A451" s="79"/>
      <c r="B451" s="79"/>
      <c r="C451" s="79"/>
      <c r="D451" s="55" t="str">
        <f t="shared" ref="D451:D514" si="28">IFERROR(IF(B451="","",C451-B451),"")</f>
        <v/>
      </c>
      <c r="E451" s="56" t="str">
        <f t="shared" si="27"/>
        <v/>
      </c>
      <c r="F451" s="55" t="str">
        <f t="shared" ref="F451:F514" si="29">IF(Kielivalinta="","",IF(B451="",IF(Kielivalinta="Suomi","Tieto puuttuu :"&amp;B$3,IF(Kielivalinta="Svenska","Information saknas :"&amp;B$3)),""))</f>
        <v/>
      </c>
      <c r="G451" s="55" t="str">
        <f t="shared" ref="G451:G514" si="30">IF(Kielivalinta="","",IF(C451="",IF(Kielivalinta="Suomi","Tieto puuttuu :"&amp;C$3,IF(Kielivalinta="Svenska","Information saknas :"&amp;C$3)),""))</f>
        <v/>
      </c>
    </row>
    <row r="452" spans="1:7" ht="15" x14ac:dyDescent="0.2">
      <c r="A452" s="79"/>
      <c r="B452" s="79"/>
      <c r="C452" s="79"/>
      <c r="D452" s="55" t="str">
        <f t="shared" si="28"/>
        <v/>
      </c>
      <c r="E452" s="56" t="str">
        <f t="shared" ref="E452:E515" si="31">IFERROR(IF(B452="","",IF(B452=0,"",IF(B452="","",(C452/B452)-1))),"")</f>
        <v/>
      </c>
      <c r="F452" s="55" t="str">
        <f t="shared" si="29"/>
        <v/>
      </c>
      <c r="G452" s="55" t="str">
        <f t="shared" si="30"/>
        <v/>
      </c>
    </row>
    <row r="453" spans="1:7" ht="15" x14ac:dyDescent="0.2">
      <c r="A453" s="79"/>
      <c r="B453" s="79"/>
      <c r="C453" s="79"/>
      <c r="D453" s="55" t="str">
        <f t="shared" si="28"/>
        <v/>
      </c>
      <c r="E453" s="56" t="str">
        <f t="shared" si="31"/>
        <v/>
      </c>
      <c r="F453" s="55" t="str">
        <f t="shared" si="29"/>
        <v/>
      </c>
      <c r="G453" s="55" t="str">
        <f t="shared" si="30"/>
        <v/>
      </c>
    </row>
    <row r="454" spans="1:7" ht="15" customHeight="1" x14ac:dyDescent="0.2">
      <c r="A454" s="79"/>
      <c r="B454" s="79"/>
      <c r="C454" s="79"/>
      <c r="D454" s="55" t="str">
        <f t="shared" si="28"/>
        <v/>
      </c>
      <c r="E454" s="56" t="str">
        <f t="shared" si="31"/>
        <v/>
      </c>
      <c r="F454" s="55" t="str">
        <f t="shared" si="29"/>
        <v/>
      </c>
      <c r="G454" s="55" t="str">
        <f t="shared" si="30"/>
        <v/>
      </c>
    </row>
    <row r="455" spans="1:7" ht="15" x14ac:dyDescent="0.2">
      <c r="A455" s="79"/>
      <c r="B455" s="79"/>
      <c r="C455" s="79"/>
      <c r="D455" s="55" t="str">
        <f t="shared" si="28"/>
        <v/>
      </c>
      <c r="E455" s="56" t="str">
        <f t="shared" si="31"/>
        <v/>
      </c>
      <c r="F455" s="55" t="str">
        <f t="shared" si="29"/>
        <v/>
      </c>
      <c r="G455" s="55" t="str">
        <f t="shared" si="30"/>
        <v/>
      </c>
    </row>
    <row r="456" spans="1:7" ht="15" x14ac:dyDescent="0.2">
      <c r="A456" s="79"/>
      <c r="B456" s="79"/>
      <c r="C456" s="79"/>
      <c r="D456" s="55" t="str">
        <f t="shared" si="28"/>
        <v/>
      </c>
      <c r="E456" s="56" t="str">
        <f t="shared" si="31"/>
        <v/>
      </c>
      <c r="F456" s="55" t="str">
        <f t="shared" si="29"/>
        <v/>
      </c>
      <c r="G456" s="55" t="str">
        <f t="shared" si="30"/>
        <v/>
      </c>
    </row>
    <row r="457" spans="1:7" ht="15" x14ac:dyDescent="0.2">
      <c r="A457" s="79"/>
      <c r="B457" s="79"/>
      <c r="C457" s="79"/>
      <c r="D457" s="55" t="str">
        <f t="shared" si="28"/>
        <v/>
      </c>
      <c r="E457" s="56" t="str">
        <f t="shared" si="31"/>
        <v/>
      </c>
      <c r="F457" s="55" t="str">
        <f t="shared" si="29"/>
        <v/>
      </c>
      <c r="G457" s="55" t="str">
        <f t="shared" si="30"/>
        <v/>
      </c>
    </row>
    <row r="458" spans="1:7" ht="15" x14ac:dyDescent="0.2">
      <c r="A458" s="79"/>
      <c r="B458" s="79"/>
      <c r="C458" s="79"/>
      <c r="D458" s="55" t="str">
        <f t="shared" si="28"/>
        <v/>
      </c>
      <c r="E458" s="56" t="str">
        <f t="shared" si="31"/>
        <v/>
      </c>
      <c r="F458" s="55" t="str">
        <f t="shared" si="29"/>
        <v/>
      </c>
      <c r="G458" s="55" t="str">
        <f t="shared" si="30"/>
        <v/>
      </c>
    </row>
    <row r="459" spans="1:7" ht="15" x14ac:dyDescent="0.2">
      <c r="A459" s="79"/>
      <c r="B459" s="79"/>
      <c r="C459" s="79"/>
      <c r="D459" s="55" t="str">
        <f t="shared" si="28"/>
        <v/>
      </c>
      <c r="E459" s="56" t="str">
        <f t="shared" si="31"/>
        <v/>
      </c>
      <c r="F459" s="55" t="str">
        <f t="shared" si="29"/>
        <v/>
      </c>
      <c r="G459" s="55" t="str">
        <f t="shared" si="30"/>
        <v/>
      </c>
    </row>
    <row r="460" spans="1:7" ht="15" x14ac:dyDescent="0.2">
      <c r="A460" s="79"/>
      <c r="B460" s="79"/>
      <c r="C460" s="79"/>
      <c r="D460" s="55" t="str">
        <f t="shared" si="28"/>
        <v/>
      </c>
      <c r="E460" s="56" t="str">
        <f t="shared" si="31"/>
        <v/>
      </c>
      <c r="F460" s="55" t="str">
        <f t="shared" si="29"/>
        <v/>
      </c>
      <c r="G460" s="55" t="str">
        <f t="shared" si="30"/>
        <v/>
      </c>
    </row>
    <row r="461" spans="1:7" ht="15" x14ac:dyDescent="0.2">
      <c r="A461" s="79"/>
      <c r="B461" s="79"/>
      <c r="C461" s="79"/>
      <c r="D461" s="55" t="str">
        <f t="shared" si="28"/>
        <v/>
      </c>
      <c r="E461" s="56" t="str">
        <f t="shared" si="31"/>
        <v/>
      </c>
      <c r="F461" s="55" t="str">
        <f t="shared" si="29"/>
        <v/>
      </c>
      <c r="G461" s="55" t="str">
        <f t="shared" si="30"/>
        <v/>
      </c>
    </row>
    <row r="462" spans="1:7" ht="15" x14ac:dyDescent="0.2">
      <c r="A462" s="79"/>
      <c r="B462" s="79"/>
      <c r="C462" s="79"/>
      <c r="D462" s="55" t="str">
        <f t="shared" si="28"/>
        <v/>
      </c>
      <c r="E462" s="56" t="str">
        <f t="shared" si="31"/>
        <v/>
      </c>
      <c r="F462" s="55" t="str">
        <f t="shared" si="29"/>
        <v/>
      </c>
      <c r="G462" s="55" t="str">
        <f t="shared" si="30"/>
        <v/>
      </c>
    </row>
    <row r="463" spans="1:7" ht="15" x14ac:dyDescent="0.2">
      <c r="A463" s="79"/>
      <c r="B463" s="79"/>
      <c r="C463" s="79"/>
      <c r="D463" s="55" t="str">
        <f t="shared" si="28"/>
        <v/>
      </c>
      <c r="E463" s="56" t="str">
        <f t="shared" si="31"/>
        <v/>
      </c>
      <c r="F463" s="55" t="str">
        <f t="shared" si="29"/>
        <v/>
      </c>
      <c r="G463" s="55" t="str">
        <f t="shared" si="30"/>
        <v/>
      </c>
    </row>
    <row r="464" spans="1:7" ht="15" x14ac:dyDescent="0.2">
      <c r="A464" s="79"/>
      <c r="B464" s="79"/>
      <c r="C464" s="79"/>
      <c r="D464" s="55" t="str">
        <f t="shared" si="28"/>
        <v/>
      </c>
      <c r="E464" s="56" t="str">
        <f t="shared" si="31"/>
        <v/>
      </c>
      <c r="F464" s="55" t="str">
        <f t="shared" si="29"/>
        <v/>
      </c>
      <c r="G464" s="55" t="str">
        <f t="shared" si="30"/>
        <v/>
      </c>
    </row>
    <row r="465" spans="1:7" ht="15" x14ac:dyDescent="0.2">
      <c r="A465" s="79"/>
      <c r="B465" s="79"/>
      <c r="C465" s="79"/>
      <c r="D465" s="55" t="str">
        <f t="shared" si="28"/>
        <v/>
      </c>
      <c r="E465" s="56" t="str">
        <f t="shared" si="31"/>
        <v/>
      </c>
      <c r="F465" s="55" t="str">
        <f t="shared" si="29"/>
        <v/>
      </c>
      <c r="G465" s="55" t="str">
        <f t="shared" si="30"/>
        <v/>
      </c>
    </row>
    <row r="466" spans="1:7" ht="15" x14ac:dyDescent="0.2">
      <c r="A466" s="79"/>
      <c r="B466" s="79"/>
      <c r="C466" s="79"/>
      <c r="D466" s="55" t="str">
        <f t="shared" si="28"/>
        <v/>
      </c>
      <c r="E466" s="56" t="str">
        <f t="shared" si="31"/>
        <v/>
      </c>
      <c r="F466" s="55" t="str">
        <f t="shared" si="29"/>
        <v/>
      </c>
      <c r="G466" s="55" t="str">
        <f t="shared" si="30"/>
        <v/>
      </c>
    </row>
    <row r="467" spans="1:7" ht="15" x14ac:dyDescent="0.2">
      <c r="A467" s="79"/>
      <c r="B467" s="79"/>
      <c r="C467" s="79"/>
      <c r="D467" s="55" t="str">
        <f t="shared" si="28"/>
        <v/>
      </c>
      <c r="E467" s="56" t="str">
        <f t="shared" si="31"/>
        <v/>
      </c>
      <c r="F467" s="55" t="str">
        <f t="shared" si="29"/>
        <v/>
      </c>
      <c r="G467" s="55" t="str">
        <f t="shared" si="30"/>
        <v/>
      </c>
    </row>
    <row r="468" spans="1:7" ht="15" x14ac:dyDescent="0.2">
      <c r="A468" s="79"/>
      <c r="B468" s="79"/>
      <c r="C468" s="79"/>
      <c r="D468" s="55" t="str">
        <f t="shared" si="28"/>
        <v/>
      </c>
      <c r="E468" s="56" t="str">
        <f t="shared" si="31"/>
        <v/>
      </c>
      <c r="F468" s="55" t="str">
        <f t="shared" si="29"/>
        <v/>
      </c>
      <c r="G468" s="55" t="str">
        <f t="shared" si="30"/>
        <v/>
      </c>
    </row>
    <row r="469" spans="1:7" ht="15" x14ac:dyDescent="0.2">
      <c r="A469" s="79"/>
      <c r="B469" s="79"/>
      <c r="C469" s="79"/>
      <c r="D469" s="55" t="str">
        <f t="shared" si="28"/>
        <v/>
      </c>
      <c r="E469" s="56" t="str">
        <f t="shared" si="31"/>
        <v/>
      </c>
      <c r="F469" s="55" t="str">
        <f t="shared" si="29"/>
        <v/>
      </c>
      <c r="G469" s="55" t="str">
        <f t="shared" si="30"/>
        <v/>
      </c>
    </row>
    <row r="470" spans="1:7" ht="15" x14ac:dyDescent="0.2">
      <c r="A470" s="79"/>
      <c r="B470" s="79"/>
      <c r="C470" s="79"/>
      <c r="D470" s="55" t="str">
        <f t="shared" si="28"/>
        <v/>
      </c>
      <c r="E470" s="56" t="str">
        <f t="shared" si="31"/>
        <v/>
      </c>
      <c r="F470" s="55" t="str">
        <f t="shared" si="29"/>
        <v/>
      </c>
      <c r="G470" s="55" t="str">
        <f t="shared" si="30"/>
        <v/>
      </c>
    </row>
    <row r="471" spans="1:7" ht="15" x14ac:dyDescent="0.2">
      <c r="A471" s="79"/>
      <c r="B471" s="79"/>
      <c r="C471" s="79"/>
      <c r="D471" s="55" t="str">
        <f t="shared" si="28"/>
        <v/>
      </c>
      <c r="E471" s="56" t="str">
        <f t="shared" si="31"/>
        <v/>
      </c>
      <c r="F471" s="55" t="str">
        <f t="shared" si="29"/>
        <v/>
      </c>
      <c r="G471" s="55" t="str">
        <f t="shared" si="30"/>
        <v/>
      </c>
    </row>
    <row r="472" spans="1:7" ht="15" x14ac:dyDescent="0.2">
      <c r="A472" s="79"/>
      <c r="B472" s="79"/>
      <c r="C472" s="79"/>
      <c r="D472" s="55" t="str">
        <f t="shared" si="28"/>
        <v/>
      </c>
      <c r="E472" s="56" t="str">
        <f t="shared" si="31"/>
        <v/>
      </c>
      <c r="F472" s="55" t="str">
        <f t="shared" si="29"/>
        <v/>
      </c>
      <c r="G472" s="55" t="str">
        <f t="shared" si="30"/>
        <v/>
      </c>
    </row>
    <row r="473" spans="1:7" ht="15" x14ac:dyDescent="0.2">
      <c r="A473" s="79"/>
      <c r="B473" s="79"/>
      <c r="C473" s="79"/>
      <c r="D473" s="55" t="str">
        <f t="shared" si="28"/>
        <v/>
      </c>
      <c r="E473" s="56" t="str">
        <f t="shared" si="31"/>
        <v/>
      </c>
      <c r="F473" s="55" t="str">
        <f t="shared" si="29"/>
        <v/>
      </c>
      <c r="G473" s="55" t="str">
        <f t="shared" si="30"/>
        <v/>
      </c>
    </row>
    <row r="474" spans="1:7" ht="15" x14ac:dyDescent="0.2">
      <c r="A474" s="79"/>
      <c r="B474" s="79"/>
      <c r="C474" s="79"/>
      <c r="D474" s="55" t="str">
        <f t="shared" si="28"/>
        <v/>
      </c>
      <c r="E474" s="56" t="str">
        <f t="shared" si="31"/>
        <v/>
      </c>
      <c r="F474" s="55" t="str">
        <f t="shared" si="29"/>
        <v/>
      </c>
      <c r="G474" s="55" t="str">
        <f t="shared" si="30"/>
        <v/>
      </c>
    </row>
    <row r="475" spans="1:7" ht="15" x14ac:dyDescent="0.2">
      <c r="A475" s="79"/>
      <c r="B475" s="79"/>
      <c r="C475" s="79"/>
      <c r="D475" s="55" t="str">
        <f t="shared" si="28"/>
        <v/>
      </c>
      <c r="E475" s="56" t="str">
        <f t="shared" si="31"/>
        <v/>
      </c>
      <c r="F475" s="55" t="str">
        <f t="shared" si="29"/>
        <v/>
      </c>
      <c r="G475" s="55" t="str">
        <f t="shared" si="30"/>
        <v/>
      </c>
    </row>
    <row r="476" spans="1:7" ht="15" x14ac:dyDescent="0.2">
      <c r="A476" s="79"/>
      <c r="B476" s="79"/>
      <c r="C476" s="79"/>
      <c r="D476" s="55" t="str">
        <f t="shared" si="28"/>
        <v/>
      </c>
      <c r="E476" s="56" t="str">
        <f t="shared" si="31"/>
        <v/>
      </c>
      <c r="F476" s="55" t="str">
        <f t="shared" si="29"/>
        <v/>
      </c>
      <c r="G476" s="55" t="str">
        <f t="shared" si="30"/>
        <v/>
      </c>
    </row>
    <row r="477" spans="1:7" ht="15" x14ac:dyDescent="0.2">
      <c r="A477" s="79"/>
      <c r="B477" s="79"/>
      <c r="C477" s="79"/>
      <c r="D477" s="55" t="str">
        <f t="shared" si="28"/>
        <v/>
      </c>
      <c r="E477" s="56" t="str">
        <f t="shared" si="31"/>
        <v/>
      </c>
      <c r="F477" s="55" t="str">
        <f t="shared" si="29"/>
        <v/>
      </c>
      <c r="G477" s="55" t="str">
        <f t="shared" si="30"/>
        <v/>
      </c>
    </row>
    <row r="478" spans="1:7" ht="15" x14ac:dyDescent="0.2">
      <c r="A478" s="79"/>
      <c r="B478" s="79"/>
      <c r="C478" s="79"/>
      <c r="D478" s="55" t="str">
        <f t="shared" si="28"/>
        <v/>
      </c>
      <c r="E478" s="56" t="str">
        <f t="shared" si="31"/>
        <v/>
      </c>
      <c r="F478" s="55" t="str">
        <f t="shared" si="29"/>
        <v/>
      </c>
      <c r="G478" s="55" t="str">
        <f t="shared" si="30"/>
        <v/>
      </c>
    </row>
    <row r="479" spans="1:7" ht="15" x14ac:dyDescent="0.2">
      <c r="A479" s="79"/>
      <c r="B479" s="79"/>
      <c r="C479" s="79"/>
      <c r="D479" s="55" t="str">
        <f t="shared" si="28"/>
        <v/>
      </c>
      <c r="E479" s="56" t="str">
        <f t="shared" si="31"/>
        <v/>
      </c>
      <c r="F479" s="55" t="str">
        <f t="shared" si="29"/>
        <v/>
      </c>
      <c r="G479" s="55" t="str">
        <f t="shared" si="30"/>
        <v/>
      </c>
    </row>
    <row r="480" spans="1:7" ht="15" x14ac:dyDescent="0.2">
      <c r="A480" s="79"/>
      <c r="B480" s="79"/>
      <c r="C480" s="79"/>
      <c r="D480" s="55" t="str">
        <f t="shared" si="28"/>
        <v/>
      </c>
      <c r="E480" s="56" t="str">
        <f t="shared" si="31"/>
        <v/>
      </c>
      <c r="F480" s="55" t="str">
        <f t="shared" si="29"/>
        <v/>
      </c>
      <c r="G480" s="55" t="str">
        <f t="shared" si="30"/>
        <v/>
      </c>
    </row>
    <row r="481" spans="1:7" ht="15" x14ac:dyDescent="0.2">
      <c r="A481" s="79"/>
      <c r="B481" s="79"/>
      <c r="C481" s="79"/>
      <c r="D481" s="55" t="str">
        <f t="shared" si="28"/>
        <v/>
      </c>
      <c r="E481" s="56" t="str">
        <f t="shared" si="31"/>
        <v/>
      </c>
      <c r="F481" s="55" t="str">
        <f t="shared" si="29"/>
        <v/>
      </c>
      <c r="G481" s="55" t="str">
        <f t="shared" si="30"/>
        <v/>
      </c>
    </row>
    <row r="482" spans="1:7" ht="15" customHeight="1" x14ac:dyDescent="0.2">
      <c r="A482" s="79"/>
      <c r="B482" s="79"/>
      <c r="C482" s="79"/>
      <c r="D482" s="55" t="str">
        <f t="shared" si="28"/>
        <v/>
      </c>
      <c r="E482" s="56" t="str">
        <f t="shared" si="31"/>
        <v/>
      </c>
      <c r="F482" s="55" t="str">
        <f t="shared" si="29"/>
        <v/>
      </c>
      <c r="G482" s="55" t="str">
        <f t="shared" si="30"/>
        <v/>
      </c>
    </row>
    <row r="483" spans="1:7" ht="15" customHeight="1" x14ac:dyDescent="0.2">
      <c r="A483" s="79"/>
      <c r="B483" s="79"/>
      <c r="C483" s="79"/>
      <c r="D483" s="55" t="str">
        <f t="shared" si="28"/>
        <v/>
      </c>
      <c r="E483" s="56" t="str">
        <f t="shared" si="31"/>
        <v/>
      </c>
      <c r="F483" s="55" t="str">
        <f t="shared" si="29"/>
        <v/>
      </c>
      <c r="G483" s="55" t="str">
        <f t="shared" si="30"/>
        <v/>
      </c>
    </row>
    <row r="484" spans="1:7" ht="15" customHeight="1" x14ac:dyDescent="0.2">
      <c r="A484" s="79"/>
      <c r="B484" s="79"/>
      <c r="C484" s="79"/>
      <c r="D484" s="55" t="str">
        <f t="shared" si="28"/>
        <v/>
      </c>
      <c r="E484" s="56" t="str">
        <f t="shared" si="31"/>
        <v/>
      </c>
      <c r="F484" s="55" t="str">
        <f t="shared" si="29"/>
        <v/>
      </c>
      <c r="G484" s="55" t="str">
        <f t="shared" si="30"/>
        <v/>
      </c>
    </row>
    <row r="485" spans="1:7" ht="15" x14ac:dyDescent="0.2">
      <c r="A485" s="79"/>
      <c r="B485" s="79"/>
      <c r="C485" s="79"/>
      <c r="D485" s="55" t="str">
        <f t="shared" si="28"/>
        <v/>
      </c>
      <c r="E485" s="56" t="str">
        <f t="shared" si="31"/>
        <v/>
      </c>
      <c r="F485" s="55" t="str">
        <f t="shared" si="29"/>
        <v/>
      </c>
      <c r="G485" s="55" t="str">
        <f t="shared" si="30"/>
        <v/>
      </c>
    </row>
    <row r="486" spans="1:7" ht="15" x14ac:dyDescent="0.2">
      <c r="A486" s="79"/>
      <c r="B486" s="79"/>
      <c r="C486" s="79"/>
      <c r="D486" s="55" t="str">
        <f t="shared" si="28"/>
        <v/>
      </c>
      <c r="E486" s="56" t="str">
        <f t="shared" si="31"/>
        <v/>
      </c>
      <c r="F486" s="55" t="str">
        <f t="shared" si="29"/>
        <v/>
      </c>
      <c r="G486" s="55" t="str">
        <f t="shared" si="30"/>
        <v/>
      </c>
    </row>
    <row r="487" spans="1:7" ht="15" x14ac:dyDescent="0.2">
      <c r="A487" s="79"/>
      <c r="B487" s="79"/>
      <c r="C487" s="79"/>
      <c r="D487" s="55" t="str">
        <f t="shared" si="28"/>
        <v/>
      </c>
      <c r="E487" s="56" t="str">
        <f t="shared" si="31"/>
        <v/>
      </c>
      <c r="F487" s="55" t="str">
        <f t="shared" si="29"/>
        <v/>
      </c>
      <c r="G487" s="55" t="str">
        <f t="shared" si="30"/>
        <v/>
      </c>
    </row>
    <row r="488" spans="1:7" ht="15" x14ac:dyDescent="0.2">
      <c r="A488" s="79"/>
      <c r="B488" s="79"/>
      <c r="C488" s="79"/>
      <c r="D488" s="55" t="str">
        <f t="shared" si="28"/>
        <v/>
      </c>
      <c r="E488" s="56" t="str">
        <f t="shared" si="31"/>
        <v/>
      </c>
      <c r="F488" s="55" t="str">
        <f t="shared" si="29"/>
        <v/>
      </c>
      <c r="G488" s="55" t="str">
        <f t="shared" si="30"/>
        <v/>
      </c>
    </row>
    <row r="489" spans="1:7" ht="15" x14ac:dyDescent="0.2">
      <c r="A489" s="79"/>
      <c r="B489" s="79"/>
      <c r="C489" s="79"/>
      <c r="D489" s="55" t="str">
        <f t="shared" si="28"/>
        <v/>
      </c>
      <c r="E489" s="56" t="str">
        <f t="shared" si="31"/>
        <v/>
      </c>
      <c r="F489" s="55" t="str">
        <f t="shared" si="29"/>
        <v/>
      </c>
      <c r="G489" s="55" t="str">
        <f t="shared" si="30"/>
        <v/>
      </c>
    </row>
    <row r="490" spans="1:7" ht="15" x14ac:dyDescent="0.2">
      <c r="A490" s="79"/>
      <c r="B490" s="79"/>
      <c r="C490" s="79"/>
      <c r="D490" s="55" t="str">
        <f t="shared" si="28"/>
        <v/>
      </c>
      <c r="E490" s="56" t="str">
        <f t="shared" si="31"/>
        <v/>
      </c>
      <c r="F490" s="55" t="str">
        <f t="shared" si="29"/>
        <v/>
      </c>
      <c r="G490" s="55" t="str">
        <f t="shared" si="30"/>
        <v/>
      </c>
    </row>
    <row r="491" spans="1:7" ht="15" x14ac:dyDescent="0.2">
      <c r="A491" s="79"/>
      <c r="B491" s="79"/>
      <c r="C491" s="79"/>
      <c r="D491" s="55" t="str">
        <f t="shared" si="28"/>
        <v/>
      </c>
      <c r="E491" s="56" t="str">
        <f t="shared" si="31"/>
        <v/>
      </c>
      <c r="F491" s="55" t="str">
        <f t="shared" si="29"/>
        <v/>
      </c>
      <c r="G491" s="55" t="str">
        <f t="shared" si="30"/>
        <v/>
      </c>
    </row>
    <row r="492" spans="1:7" ht="15" x14ac:dyDescent="0.2">
      <c r="A492" s="79"/>
      <c r="B492" s="79"/>
      <c r="C492" s="79"/>
      <c r="D492" s="55" t="str">
        <f t="shared" si="28"/>
        <v/>
      </c>
      <c r="E492" s="56" t="str">
        <f t="shared" si="31"/>
        <v/>
      </c>
      <c r="F492" s="55" t="str">
        <f t="shared" si="29"/>
        <v/>
      </c>
      <c r="G492" s="55" t="str">
        <f t="shared" si="30"/>
        <v/>
      </c>
    </row>
    <row r="493" spans="1:7" ht="15" x14ac:dyDescent="0.2">
      <c r="A493" s="79"/>
      <c r="B493" s="79"/>
      <c r="C493" s="79"/>
      <c r="D493" s="55" t="str">
        <f t="shared" si="28"/>
        <v/>
      </c>
      <c r="E493" s="56" t="str">
        <f t="shared" si="31"/>
        <v/>
      </c>
      <c r="F493" s="55" t="str">
        <f t="shared" si="29"/>
        <v/>
      </c>
      <c r="G493" s="55" t="str">
        <f t="shared" si="30"/>
        <v/>
      </c>
    </row>
    <row r="494" spans="1:7" ht="15" x14ac:dyDescent="0.2">
      <c r="A494" s="79"/>
      <c r="B494" s="79"/>
      <c r="C494" s="79"/>
      <c r="D494" s="55" t="str">
        <f t="shared" si="28"/>
        <v/>
      </c>
      <c r="E494" s="56" t="str">
        <f t="shared" si="31"/>
        <v/>
      </c>
      <c r="F494" s="55" t="str">
        <f t="shared" si="29"/>
        <v/>
      </c>
      <c r="G494" s="55" t="str">
        <f t="shared" si="30"/>
        <v/>
      </c>
    </row>
    <row r="495" spans="1:7" ht="15" customHeight="1" x14ac:dyDescent="0.2">
      <c r="A495" s="79"/>
      <c r="B495" s="79"/>
      <c r="C495" s="79"/>
      <c r="D495" s="55" t="str">
        <f t="shared" si="28"/>
        <v/>
      </c>
      <c r="E495" s="56" t="str">
        <f t="shared" si="31"/>
        <v/>
      </c>
      <c r="F495" s="55" t="str">
        <f t="shared" si="29"/>
        <v/>
      </c>
      <c r="G495" s="55" t="str">
        <f t="shared" si="30"/>
        <v/>
      </c>
    </row>
    <row r="496" spans="1:7" ht="15" customHeight="1" x14ac:dyDescent="0.2">
      <c r="A496" s="79"/>
      <c r="B496" s="79"/>
      <c r="C496" s="79"/>
      <c r="D496" s="55" t="str">
        <f t="shared" si="28"/>
        <v/>
      </c>
      <c r="E496" s="56" t="str">
        <f t="shared" si="31"/>
        <v/>
      </c>
      <c r="F496" s="55" t="str">
        <f t="shared" si="29"/>
        <v/>
      </c>
      <c r="G496" s="55" t="str">
        <f t="shared" si="30"/>
        <v/>
      </c>
    </row>
    <row r="497" spans="1:7" ht="15" customHeight="1" x14ac:dyDescent="0.2">
      <c r="A497" s="79"/>
      <c r="B497" s="79"/>
      <c r="C497" s="79"/>
      <c r="D497" s="55" t="str">
        <f t="shared" si="28"/>
        <v/>
      </c>
      <c r="E497" s="56" t="str">
        <f t="shared" si="31"/>
        <v/>
      </c>
      <c r="F497" s="55" t="str">
        <f t="shared" si="29"/>
        <v/>
      </c>
      <c r="G497" s="55" t="str">
        <f t="shared" si="30"/>
        <v/>
      </c>
    </row>
    <row r="498" spans="1:7" ht="15" x14ac:dyDescent="0.2">
      <c r="A498" s="79"/>
      <c r="B498" s="79"/>
      <c r="C498" s="79"/>
      <c r="D498" s="55" t="str">
        <f t="shared" si="28"/>
        <v/>
      </c>
      <c r="E498" s="56" t="str">
        <f t="shared" si="31"/>
        <v/>
      </c>
      <c r="F498" s="55" t="str">
        <f t="shared" si="29"/>
        <v/>
      </c>
      <c r="G498" s="55" t="str">
        <f t="shared" si="30"/>
        <v/>
      </c>
    </row>
    <row r="499" spans="1:7" ht="15" x14ac:dyDescent="0.2">
      <c r="A499" s="79"/>
      <c r="B499" s="79"/>
      <c r="C499" s="79"/>
      <c r="D499" s="55" t="str">
        <f t="shared" si="28"/>
        <v/>
      </c>
      <c r="E499" s="56" t="str">
        <f t="shared" si="31"/>
        <v/>
      </c>
      <c r="F499" s="55" t="str">
        <f t="shared" si="29"/>
        <v/>
      </c>
      <c r="G499" s="55" t="str">
        <f t="shared" si="30"/>
        <v/>
      </c>
    </row>
    <row r="500" spans="1:7" ht="15" x14ac:dyDescent="0.2">
      <c r="A500" s="79"/>
      <c r="B500" s="79"/>
      <c r="C500" s="79"/>
      <c r="D500" s="55" t="str">
        <f t="shared" si="28"/>
        <v/>
      </c>
      <c r="E500" s="56" t="str">
        <f t="shared" si="31"/>
        <v/>
      </c>
      <c r="F500" s="55" t="str">
        <f t="shared" si="29"/>
        <v/>
      </c>
      <c r="G500" s="55" t="str">
        <f t="shared" si="30"/>
        <v/>
      </c>
    </row>
    <row r="501" spans="1:7" ht="15" x14ac:dyDescent="0.2">
      <c r="A501" s="79"/>
      <c r="B501" s="79"/>
      <c r="C501" s="79"/>
      <c r="D501" s="55" t="str">
        <f t="shared" si="28"/>
        <v/>
      </c>
      <c r="E501" s="56" t="str">
        <f t="shared" si="31"/>
        <v/>
      </c>
      <c r="F501" s="55" t="str">
        <f t="shared" si="29"/>
        <v/>
      </c>
      <c r="G501" s="55" t="str">
        <f t="shared" si="30"/>
        <v/>
      </c>
    </row>
    <row r="502" spans="1:7" ht="15" x14ac:dyDescent="0.2">
      <c r="A502" s="79"/>
      <c r="B502" s="79"/>
      <c r="C502" s="79"/>
      <c r="D502" s="55" t="str">
        <f t="shared" si="28"/>
        <v/>
      </c>
      <c r="E502" s="56" t="str">
        <f t="shared" si="31"/>
        <v/>
      </c>
      <c r="F502" s="55" t="str">
        <f t="shared" si="29"/>
        <v/>
      </c>
      <c r="G502" s="55" t="str">
        <f t="shared" si="30"/>
        <v/>
      </c>
    </row>
    <row r="503" spans="1:7" ht="15" x14ac:dyDescent="0.2">
      <c r="A503" s="79"/>
      <c r="B503" s="79"/>
      <c r="C503" s="79"/>
      <c r="D503" s="55" t="str">
        <f t="shared" si="28"/>
        <v/>
      </c>
      <c r="E503" s="56" t="str">
        <f t="shared" si="31"/>
        <v/>
      </c>
      <c r="F503" s="55" t="str">
        <f t="shared" si="29"/>
        <v/>
      </c>
      <c r="G503" s="55" t="str">
        <f t="shared" si="30"/>
        <v/>
      </c>
    </row>
    <row r="504" spans="1:7" ht="15" x14ac:dyDescent="0.2">
      <c r="A504" s="79"/>
      <c r="B504" s="79"/>
      <c r="C504" s="79"/>
      <c r="D504" s="55" t="str">
        <f t="shared" si="28"/>
        <v/>
      </c>
      <c r="E504" s="56" t="str">
        <f t="shared" si="31"/>
        <v/>
      </c>
      <c r="F504" s="55" t="str">
        <f t="shared" si="29"/>
        <v/>
      </c>
      <c r="G504" s="55" t="str">
        <f t="shared" si="30"/>
        <v/>
      </c>
    </row>
    <row r="505" spans="1:7" ht="15" x14ac:dyDescent="0.2">
      <c r="A505" s="79"/>
      <c r="B505" s="79"/>
      <c r="C505" s="79"/>
      <c r="D505" s="55" t="str">
        <f t="shared" si="28"/>
        <v/>
      </c>
      <c r="E505" s="56" t="str">
        <f t="shared" si="31"/>
        <v/>
      </c>
      <c r="F505" s="55" t="str">
        <f t="shared" si="29"/>
        <v/>
      </c>
      <c r="G505" s="55" t="str">
        <f t="shared" si="30"/>
        <v/>
      </c>
    </row>
    <row r="506" spans="1:7" ht="15" x14ac:dyDescent="0.2">
      <c r="A506" s="79"/>
      <c r="B506" s="79"/>
      <c r="C506" s="79"/>
      <c r="D506" s="55" t="str">
        <f t="shared" si="28"/>
        <v/>
      </c>
      <c r="E506" s="56" t="str">
        <f t="shared" si="31"/>
        <v/>
      </c>
      <c r="F506" s="55" t="str">
        <f t="shared" si="29"/>
        <v/>
      </c>
      <c r="G506" s="55" t="str">
        <f t="shared" si="30"/>
        <v/>
      </c>
    </row>
    <row r="507" spans="1:7" ht="15" x14ac:dyDescent="0.2">
      <c r="A507" s="79"/>
      <c r="B507" s="79"/>
      <c r="C507" s="79"/>
      <c r="D507" s="55" t="str">
        <f t="shared" si="28"/>
        <v/>
      </c>
      <c r="E507" s="56" t="str">
        <f t="shared" si="31"/>
        <v/>
      </c>
      <c r="F507" s="55" t="str">
        <f t="shared" si="29"/>
        <v/>
      </c>
      <c r="G507" s="55" t="str">
        <f t="shared" si="30"/>
        <v/>
      </c>
    </row>
    <row r="508" spans="1:7" ht="15" x14ac:dyDescent="0.2">
      <c r="A508" s="79"/>
      <c r="B508" s="79"/>
      <c r="C508" s="79"/>
      <c r="D508" s="55" t="str">
        <f t="shared" si="28"/>
        <v/>
      </c>
      <c r="E508" s="56" t="str">
        <f t="shared" si="31"/>
        <v/>
      </c>
      <c r="F508" s="55" t="str">
        <f t="shared" si="29"/>
        <v/>
      </c>
      <c r="G508" s="55" t="str">
        <f t="shared" si="30"/>
        <v/>
      </c>
    </row>
    <row r="509" spans="1:7" ht="15" customHeight="1" x14ac:dyDescent="0.2">
      <c r="A509" s="79"/>
      <c r="B509" s="79"/>
      <c r="C509" s="79"/>
      <c r="D509" s="55" t="str">
        <f t="shared" si="28"/>
        <v/>
      </c>
      <c r="E509" s="56" t="str">
        <f t="shared" si="31"/>
        <v/>
      </c>
      <c r="F509" s="55" t="str">
        <f t="shared" si="29"/>
        <v/>
      </c>
      <c r="G509" s="55" t="str">
        <f t="shared" si="30"/>
        <v/>
      </c>
    </row>
    <row r="510" spans="1:7" ht="15" x14ac:dyDescent="0.2">
      <c r="A510" s="79"/>
      <c r="B510" s="79"/>
      <c r="C510" s="79"/>
      <c r="D510" s="55" t="str">
        <f t="shared" si="28"/>
        <v/>
      </c>
      <c r="E510" s="56" t="str">
        <f t="shared" si="31"/>
        <v/>
      </c>
      <c r="F510" s="55" t="str">
        <f t="shared" si="29"/>
        <v/>
      </c>
      <c r="G510" s="55" t="str">
        <f t="shared" si="30"/>
        <v/>
      </c>
    </row>
    <row r="511" spans="1:7" ht="15" x14ac:dyDescent="0.2">
      <c r="A511" s="79"/>
      <c r="B511" s="79"/>
      <c r="C511" s="79"/>
      <c r="D511" s="55" t="str">
        <f t="shared" si="28"/>
        <v/>
      </c>
      <c r="E511" s="56" t="str">
        <f t="shared" si="31"/>
        <v/>
      </c>
      <c r="F511" s="55" t="str">
        <f t="shared" si="29"/>
        <v/>
      </c>
      <c r="G511" s="55" t="str">
        <f t="shared" si="30"/>
        <v/>
      </c>
    </row>
    <row r="512" spans="1:7" ht="15" x14ac:dyDescent="0.2">
      <c r="A512" s="79"/>
      <c r="B512" s="79"/>
      <c r="C512" s="79"/>
      <c r="D512" s="55" t="str">
        <f t="shared" si="28"/>
        <v/>
      </c>
      <c r="E512" s="56" t="str">
        <f t="shared" si="31"/>
        <v/>
      </c>
      <c r="F512" s="55" t="str">
        <f t="shared" si="29"/>
        <v/>
      </c>
      <c r="G512" s="55" t="str">
        <f t="shared" si="30"/>
        <v/>
      </c>
    </row>
    <row r="513" spans="1:7" ht="15" x14ac:dyDescent="0.2">
      <c r="A513" s="79"/>
      <c r="B513" s="79"/>
      <c r="C513" s="79"/>
      <c r="D513" s="55" t="str">
        <f t="shared" si="28"/>
        <v/>
      </c>
      <c r="E513" s="56" t="str">
        <f t="shared" si="31"/>
        <v/>
      </c>
      <c r="F513" s="55" t="str">
        <f t="shared" si="29"/>
        <v/>
      </c>
      <c r="G513" s="55" t="str">
        <f t="shared" si="30"/>
        <v/>
      </c>
    </row>
    <row r="514" spans="1:7" ht="15" x14ac:dyDescent="0.2">
      <c r="A514" s="79"/>
      <c r="B514" s="79"/>
      <c r="C514" s="79"/>
      <c r="D514" s="55" t="str">
        <f t="shared" si="28"/>
        <v/>
      </c>
      <c r="E514" s="56" t="str">
        <f t="shared" si="31"/>
        <v/>
      </c>
      <c r="F514" s="55" t="str">
        <f t="shared" si="29"/>
        <v/>
      </c>
      <c r="G514" s="55" t="str">
        <f t="shared" si="30"/>
        <v/>
      </c>
    </row>
    <row r="515" spans="1:7" ht="15" x14ac:dyDescent="0.2">
      <c r="A515" s="79"/>
      <c r="B515" s="79"/>
      <c r="C515" s="79"/>
      <c r="D515" s="55" t="str">
        <f t="shared" ref="D515:D578" si="32">IFERROR(IF(B515="","",C515-B515),"")</f>
        <v/>
      </c>
      <c r="E515" s="56" t="str">
        <f t="shared" si="31"/>
        <v/>
      </c>
      <c r="F515" s="55" t="str">
        <f t="shared" ref="F515:F578" si="33">IF(Kielivalinta="","",IF(B515="",IF(Kielivalinta="Suomi","Tieto puuttuu :"&amp;B$3,IF(Kielivalinta="Svenska","Information saknas :"&amp;B$3)),""))</f>
        <v/>
      </c>
      <c r="G515" s="55" t="str">
        <f t="shared" ref="G515:G578" si="34">IF(Kielivalinta="","",IF(C515="",IF(Kielivalinta="Suomi","Tieto puuttuu :"&amp;C$3,IF(Kielivalinta="Svenska","Information saknas :"&amp;C$3)),""))</f>
        <v/>
      </c>
    </row>
    <row r="516" spans="1:7" ht="15" x14ac:dyDescent="0.2">
      <c r="A516" s="79"/>
      <c r="B516" s="79"/>
      <c r="C516" s="79"/>
      <c r="D516" s="55" t="str">
        <f t="shared" si="32"/>
        <v/>
      </c>
      <c r="E516" s="56" t="str">
        <f t="shared" ref="E516:E579" si="35">IFERROR(IF(B516="","",IF(B516=0,"",IF(B516="","",(C516/B516)-1))),"")</f>
        <v/>
      </c>
      <c r="F516" s="55" t="str">
        <f t="shared" si="33"/>
        <v/>
      </c>
      <c r="G516" s="55" t="str">
        <f t="shared" si="34"/>
        <v/>
      </c>
    </row>
    <row r="517" spans="1:7" ht="15" x14ac:dyDescent="0.2">
      <c r="A517" s="79"/>
      <c r="B517" s="79"/>
      <c r="C517" s="79"/>
      <c r="D517" s="55" t="str">
        <f t="shared" si="32"/>
        <v/>
      </c>
      <c r="E517" s="56" t="str">
        <f t="shared" si="35"/>
        <v/>
      </c>
      <c r="F517" s="55" t="str">
        <f t="shared" si="33"/>
        <v/>
      </c>
      <c r="G517" s="55" t="str">
        <f t="shared" si="34"/>
        <v/>
      </c>
    </row>
    <row r="518" spans="1:7" ht="15" x14ac:dyDescent="0.2">
      <c r="A518" s="79"/>
      <c r="B518" s="79"/>
      <c r="C518" s="79"/>
      <c r="D518" s="55" t="str">
        <f t="shared" si="32"/>
        <v/>
      </c>
      <c r="E518" s="56" t="str">
        <f t="shared" si="35"/>
        <v/>
      </c>
      <c r="F518" s="55" t="str">
        <f t="shared" si="33"/>
        <v/>
      </c>
      <c r="G518" s="55" t="str">
        <f t="shared" si="34"/>
        <v/>
      </c>
    </row>
    <row r="519" spans="1:7" ht="15" x14ac:dyDescent="0.2">
      <c r="A519" s="79"/>
      <c r="B519" s="79"/>
      <c r="C519" s="79"/>
      <c r="D519" s="55" t="str">
        <f t="shared" si="32"/>
        <v/>
      </c>
      <c r="E519" s="56" t="str">
        <f t="shared" si="35"/>
        <v/>
      </c>
      <c r="F519" s="55" t="str">
        <f t="shared" si="33"/>
        <v/>
      </c>
      <c r="G519" s="55" t="str">
        <f t="shared" si="34"/>
        <v/>
      </c>
    </row>
    <row r="520" spans="1:7" ht="15" customHeight="1" x14ac:dyDescent="0.2">
      <c r="A520" s="79"/>
      <c r="B520" s="79"/>
      <c r="C520" s="79"/>
      <c r="D520" s="55" t="str">
        <f t="shared" si="32"/>
        <v/>
      </c>
      <c r="E520" s="56" t="str">
        <f t="shared" si="35"/>
        <v/>
      </c>
      <c r="F520" s="55" t="str">
        <f t="shared" si="33"/>
        <v/>
      </c>
      <c r="G520" s="55" t="str">
        <f t="shared" si="34"/>
        <v/>
      </c>
    </row>
    <row r="521" spans="1:7" ht="15" customHeight="1" x14ac:dyDescent="0.2">
      <c r="A521" s="79"/>
      <c r="B521" s="79"/>
      <c r="C521" s="79"/>
      <c r="D521" s="55" t="str">
        <f t="shared" si="32"/>
        <v/>
      </c>
      <c r="E521" s="56" t="str">
        <f t="shared" si="35"/>
        <v/>
      </c>
      <c r="F521" s="55" t="str">
        <f t="shared" si="33"/>
        <v/>
      </c>
      <c r="G521" s="55" t="str">
        <f t="shared" si="34"/>
        <v/>
      </c>
    </row>
    <row r="522" spans="1:7" ht="15" customHeight="1" x14ac:dyDescent="0.2">
      <c r="A522" s="79"/>
      <c r="B522" s="79"/>
      <c r="C522" s="79"/>
      <c r="D522" s="55" t="str">
        <f t="shared" si="32"/>
        <v/>
      </c>
      <c r="E522" s="56" t="str">
        <f t="shared" si="35"/>
        <v/>
      </c>
      <c r="F522" s="55" t="str">
        <f t="shared" si="33"/>
        <v/>
      </c>
      <c r="G522" s="55" t="str">
        <f t="shared" si="34"/>
        <v/>
      </c>
    </row>
    <row r="523" spans="1:7" ht="15" x14ac:dyDescent="0.2">
      <c r="A523" s="79"/>
      <c r="B523" s="79"/>
      <c r="C523" s="79"/>
      <c r="D523" s="55" t="str">
        <f t="shared" si="32"/>
        <v/>
      </c>
      <c r="E523" s="56" t="str">
        <f t="shared" si="35"/>
        <v/>
      </c>
      <c r="F523" s="55" t="str">
        <f t="shared" si="33"/>
        <v/>
      </c>
      <c r="G523" s="55" t="str">
        <f t="shared" si="34"/>
        <v/>
      </c>
    </row>
    <row r="524" spans="1:7" ht="15" x14ac:dyDescent="0.2">
      <c r="A524" s="79"/>
      <c r="B524" s="79"/>
      <c r="C524" s="79"/>
      <c r="D524" s="55" t="str">
        <f t="shared" si="32"/>
        <v/>
      </c>
      <c r="E524" s="56" t="str">
        <f t="shared" si="35"/>
        <v/>
      </c>
      <c r="F524" s="55" t="str">
        <f t="shared" si="33"/>
        <v/>
      </c>
      <c r="G524" s="55" t="str">
        <f t="shared" si="34"/>
        <v/>
      </c>
    </row>
    <row r="525" spans="1:7" ht="15" x14ac:dyDescent="0.2">
      <c r="A525" s="79"/>
      <c r="B525" s="79"/>
      <c r="C525" s="79"/>
      <c r="D525" s="55" t="str">
        <f t="shared" si="32"/>
        <v/>
      </c>
      <c r="E525" s="56" t="str">
        <f t="shared" si="35"/>
        <v/>
      </c>
      <c r="F525" s="55" t="str">
        <f t="shared" si="33"/>
        <v/>
      </c>
      <c r="G525" s="55" t="str">
        <f t="shared" si="34"/>
        <v/>
      </c>
    </row>
    <row r="526" spans="1:7" ht="15" x14ac:dyDescent="0.2">
      <c r="A526" s="79"/>
      <c r="B526" s="79"/>
      <c r="C526" s="79"/>
      <c r="D526" s="55" t="str">
        <f t="shared" si="32"/>
        <v/>
      </c>
      <c r="E526" s="56" t="str">
        <f t="shared" si="35"/>
        <v/>
      </c>
      <c r="F526" s="55" t="str">
        <f t="shared" si="33"/>
        <v/>
      </c>
      <c r="G526" s="55" t="str">
        <f t="shared" si="34"/>
        <v/>
      </c>
    </row>
    <row r="527" spans="1:7" ht="15" customHeight="1" x14ac:dyDescent="0.2">
      <c r="A527" s="79"/>
      <c r="B527" s="79"/>
      <c r="C527" s="79"/>
      <c r="D527" s="55" t="str">
        <f t="shared" si="32"/>
        <v/>
      </c>
      <c r="E527" s="56" t="str">
        <f t="shared" si="35"/>
        <v/>
      </c>
      <c r="F527" s="55" t="str">
        <f t="shared" si="33"/>
        <v/>
      </c>
      <c r="G527" s="55" t="str">
        <f t="shared" si="34"/>
        <v/>
      </c>
    </row>
    <row r="528" spans="1:7" ht="15" x14ac:dyDescent="0.2">
      <c r="A528" s="79"/>
      <c r="B528" s="79"/>
      <c r="C528" s="79"/>
      <c r="D528" s="55" t="str">
        <f t="shared" si="32"/>
        <v/>
      </c>
      <c r="E528" s="56" t="str">
        <f t="shared" si="35"/>
        <v/>
      </c>
      <c r="F528" s="55" t="str">
        <f t="shared" si="33"/>
        <v/>
      </c>
      <c r="G528" s="55" t="str">
        <f t="shared" si="34"/>
        <v/>
      </c>
    </row>
    <row r="529" spans="1:7" ht="15" x14ac:dyDescent="0.2">
      <c r="A529" s="79"/>
      <c r="B529" s="79"/>
      <c r="C529" s="79"/>
      <c r="D529" s="55" t="str">
        <f t="shared" si="32"/>
        <v/>
      </c>
      <c r="E529" s="56" t="str">
        <f t="shared" si="35"/>
        <v/>
      </c>
      <c r="F529" s="55" t="str">
        <f t="shared" si="33"/>
        <v/>
      </c>
      <c r="G529" s="55" t="str">
        <f t="shared" si="34"/>
        <v/>
      </c>
    </row>
    <row r="530" spans="1:7" ht="15" x14ac:dyDescent="0.2">
      <c r="A530" s="79"/>
      <c r="B530" s="79"/>
      <c r="C530" s="79"/>
      <c r="D530" s="55" t="str">
        <f t="shared" si="32"/>
        <v/>
      </c>
      <c r="E530" s="56" t="str">
        <f t="shared" si="35"/>
        <v/>
      </c>
      <c r="F530" s="55" t="str">
        <f t="shared" si="33"/>
        <v/>
      </c>
      <c r="G530" s="55" t="str">
        <f t="shared" si="34"/>
        <v/>
      </c>
    </row>
    <row r="531" spans="1:7" ht="15" x14ac:dyDescent="0.2">
      <c r="A531" s="79"/>
      <c r="B531" s="79"/>
      <c r="C531" s="79"/>
      <c r="D531" s="55" t="str">
        <f t="shared" si="32"/>
        <v/>
      </c>
      <c r="E531" s="56" t="str">
        <f t="shared" si="35"/>
        <v/>
      </c>
      <c r="F531" s="55" t="str">
        <f t="shared" si="33"/>
        <v/>
      </c>
      <c r="G531" s="55" t="str">
        <f t="shared" si="34"/>
        <v/>
      </c>
    </row>
    <row r="532" spans="1:7" ht="15" x14ac:dyDescent="0.2">
      <c r="A532" s="79"/>
      <c r="B532" s="79"/>
      <c r="C532" s="79"/>
      <c r="D532" s="55" t="str">
        <f t="shared" si="32"/>
        <v/>
      </c>
      <c r="E532" s="56" t="str">
        <f t="shared" si="35"/>
        <v/>
      </c>
      <c r="F532" s="55" t="str">
        <f t="shared" si="33"/>
        <v/>
      </c>
      <c r="G532" s="55" t="str">
        <f t="shared" si="34"/>
        <v/>
      </c>
    </row>
    <row r="533" spans="1:7" ht="15" customHeight="1" x14ac:dyDescent="0.2">
      <c r="A533" s="79"/>
      <c r="B533" s="79"/>
      <c r="C533" s="79"/>
      <c r="D533" s="55" t="str">
        <f t="shared" si="32"/>
        <v/>
      </c>
      <c r="E533" s="56" t="str">
        <f t="shared" si="35"/>
        <v/>
      </c>
      <c r="F533" s="55" t="str">
        <f t="shared" si="33"/>
        <v/>
      </c>
      <c r="G533" s="55" t="str">
        <f t="shared" si="34"/>
        <v/>
      </c>
    </row>
    <row r="534" spans="1:7" ht="15" customHeight="1" x14ac:dyDescent="0.2">
      <c r="A534" s="79"/>
      <c r="B534" s="79"/>
      <c r="C534" s="79"/>
      <c r="D534" s="55" t="str">
        <f t="shared" si="32"/>
        <v/>
      </c>
      <c r="E534" s="56" t="str">
        <f t="shared" si="35"/>
        <v/>
      </c>
      <c r="F534" s="55" t="str">
        <f t="shared" si="33"/>
        <v/>
      </c>
      <c r="G534" s="55" t="str">
        <f t="shared" si="34"/>
        <v/>
      </c>
    </row>
    <row r="535" spans="1:7" ht="15" x14ac:dyDescent="0.2">
      <c r="A535" s="79"/>
      <c r="B535" s="79"/>
      <c r="C535" s="79"/>
      <c r="D535" s="55" t="str">
        <f t="shared" si="32"/>
        <v/>
      </c>
      <c r="E535" s="56" t="str">
        <f t="shared" si="35"/>
        <v/>
      </c>
      <c r="F535" s="55" t="str">
        <f t="shared" si="33"/>
        <v/>
      </c>
      <c r="G535" s="55" t="str">
        <f t="shared" si="34"/>
        <v/>
      </c>
    </row>
    <row r="536" spans="1:7" ht="15" customHeight="1" x14ac:dyDescent="0.2">
      <c r="A536" s="79"/>
      <c r="B536" s="79"/>
      <c r="C536" s="79"/>
      <c r="D536" s="55" t="str">
        <f t="shared" si="32"/>
        <v/>
      </c>
      <c r="E536" s="56" t="str">
        <f t="shared" si="35"/>
        <v/>
      </c>
      <c r="F536" s="55" t="str">
        <f t="shared" si="33"/>
        <v/>
      </c>
      <c r="G536" s="55" t="str">
        <f t="shared" si="34"/>
        <v/>
      </c>
    </row>
    <row r="537" spans="1:7" ht="15" customHeight="1" x14ac:dyDescent="0.2">
      <c r="A537" s="79"/>
      <c r="B537" s="79"/>
      <c r="C537" s="79"/>
      <c r="D537" s="55" t="str">
        <f t="shared" si="32"/>
        <v/>
      </c>
      <c r="E537" s="56" t="str">
        <f t="shared" si="35"/>
        <v/>
      </c>
      <c r="F537" s="55" t="str">
        <f t="shared" si="33"/>
        <v/>
      </c>
      <c r="G537" s="55" t="str">
        <f t="shared" si="34"/>
        <v/>
      </c>
    </row>
    <row r="538" spans="1:7" ht="15" x14ac:dyDescent="0.2">
      <c r="A538" s="79"/>
      <c r="B538" s="79"/>
      <c r="C538" s="79"/>
      <c r="D538" s="55" t="str">
        <f t="shared" si="32"/>
        <v/>
      </c>
      <c r="E538" s="56" t="str">
        <f t="shared" si="35"/>
        <v/>
      </c>
      <c r="F538" s="55" t="str">
        <f t="shared" si="33"/>
        <v/>
      </c>
      <c r="G538" s="55" t="str">
        <f t="shared" si="34"/>
        <v/>
      </c>
    </row>
    <row r="539" spans="1:7" ht="15" x14ac:dyDescent="0.2">
      <c r="A539" s="79"/>
      <c r="B539" s="79"/>
      <c r="C539" s="79"/>
      <c r="D539" s="55" t="str">
        <f t="shared" si="32"/>
        <v/>
      </c>
      <c r="E539" s="56" t="str">
        <f t="shared" si="35"/>
        <v/>
      </c>
      <c r="F539" s="55" t="str">
        <f t="shared" si="33"/>
        <v/>
      </c>
      <c r="G539" s="55" t="str">
        <f t="shared" si="34"/>
        <v/>
      </c>
    </row>
    <row r="540" spans="1:7" ht="15" x14ac:dyDescent="0.2">
      <c r="A540" s="79"/>
      <c r="B540" s="79"/>
      <c r="C540" s="79"/>
      <c r="D540" s="55" t="str">
        <f t="shared" si="32"/>
        <v/>
      </c>
      <c r="E540" s="56" t="str">
        <f t="shared" si="35"/>
        <v/>
      </c>
      <c r="F540" s="55" t="str">
        <f t="shared" si="33"/>
        <v/>
      </c>
      <c r="G540" s="55" t="str">
        <f t="shared" si="34"/>
        <v/>
      </c>
    </row>
    <row r="541" spans="1:7" ht="15" x14ac:dyDescent="0.2">
      <c r="A541" s="79"/>
      <c r="B541" s="79"/>
      <c r="C541" s="79"/>
      <c r="D541" s="55" t="str">
        <f t="shared" si="32"/>
        <v/>
      </c>
      <c r="E541" s="56" t="str">
        <f t="shared" si="35"/>
        <v/>
      </c>
      <c r="F541" s="55" t="str">
        <f t="shared" si="33"/>
        <v/>
      </c>
      <c r="G541" s="55" t="str">
        <f t="shared" si="34"/>
        <v/>
      </c>
    </row>
    <row r="542" spans="1:7" ht="15" customHeight="1" x14ac:dyDescent="0.2">
      <c r="A542" s="79"/>
      <c r="B542" s="79"/>
      <c r="C542" s="79"/>
      <c r="D542" s="55" t="str">
        <f t="shared" si="32"/>
        <v/>
      </c>
      <c r="E542" s="56" t="str">
        <f t="shared" si="35"/>
        <v/>
      </c>
      <c r="F542" s="55" t="str">
        <f t="shared" si="33"/>
        <v/>
      </c>
      <c r="G542" s="55" t="str">
        <f t="shared" si="34"/>
        <v/>
      </c>
    </row>
    <row r="543" spans="1:7" ht="15" x14ac:dyDescent="0.2">
      <c r="A543" s="79"/>
      <c r="B543" s="79"/>
      <c r="C543" s="79"/>
      <c r="D543" s="55" t="str">
        <f t="shared" si="32"/>
        <v/>
      </c>
      <c r="E543" s="56" t="str">
        <f t="shared" si="35"/>
        <v/>
      </c>
      <c r="F543" s="55" t="str">
        <f t="shared" si="33"/>
        <v/>
      </c>
      <c r="G543" s="55" t="str">
        <f t="shared" si="34"/>
        <v/>
      </c>
    </row>
    <row r="544" spans="1:7" ht="15" customHeight="1" x14ac:dyDescent="0.2">
      <c r="A544" s="79"/>
      <c r="B544" s="79"/>
      <c r="C544" s="79"/>
      <c r="D544" s="55" t="str">
        <f t="shared" si="32"/>
        <v/>
      </c>
      <c r="E544" s="56" t="str">
        <f t="shared" si="35"/>
        <v/>
      </c>
      <c r="F544" s="55" t="str">
        <f t="shared" si="33"/>
        <v/>
      </c>
      <c r="G544" s="55" t="str">
        <f t="shared" si="34"/>
        <v/>
      </c>
    </row>
    <row r="545" spans="1:7" ht="15" x14ac:dyDescent="0.2">
      <c r="A545" s="79"/>
      <c r="B545" s="79"/>
      <c r="C545" s="79"/>
      <c r="D545" s="55" t="str">
        <f t="shared" si="32"/>
        <v/>
      </c>
      <c r="E545" s="56" t="str">
        <f t="shared" si="35"/>
        <v/>
      </c>
      <c r="F545" s="55" t="str">
        <f t="shared" si="33"/>
        <v/>
      </c>
      <c r="G545" s="55" t="str">
        <f t="shared" si="34"/>
        <v/>
      </c>
    </row>
    <row r="546" spans="1:7" ht="15" customHeight="1" x14ac:dyDescent="0.2">
      <c r="A546" s="79"/>
      <c r="B546" s="79"/>
      <c r="C546" s="79"/>
      <c r="D546" s="55" t="str">
        <f t="shared" si="32"/>
        <v/>
      </c>
      <c r="E546" s="56" t="str">
        <f t="shared" si="35"/>
        <v/>
      </c>
      <c r="F546" s="55" t="str">
        <f t="shared" si="33"/>
        <v/>
      </c>
      <c r="G546" s="55" t="str">
        <f t="shared" si="34"/>
        <v/>
      </c>
    </row>
    <row r="547" spans="1:7" ht="15" x14ac:dyDescent="0.2">
      <c r="A547" s="79"/>
      <c r="B547" s="79"/>
      <c r="C547" s="79"/>
      <c r="D547" s="55" t="str">
        <f t="shared" si="32"/>
        <v/>
      </c>
      <c r="E547" s="56" t="str">
        <f t="shared" si="35"/>
        <v/>
      </c>
      <c r="F547" s="55" t="str">
        <f t="shared" si="33"/>
        <v/>
      </c>
      <c r="G547" s="55" t="str">
        <f t="shared" si="34"/>
        <v/>
      </c>
    </row>
    <row r="548" spans="1:7" ht="15" x14ac:dyDescent="0.2">
      <c r="A548" s="79"/>
      <c r="B548" s="79"/>
      <c r="C548" s="79"/>
      <c r="D548" s="55" t="str">
        <f t="shared" si="32"/>
        <v/>
      </c>
      <c r="E548" s="56" t="str">
        <f t="shared" si="35"/>
        <v/>
      </c>
      <c r="F548" s="55" t="str">
        <f t="shared" si="33"/>
        <v/>
      </c>
      <c r="G548" s="55" t="str">
        <f t="shared" si="34"/>
        <v/>
      </c>
    </row>
    <row r="549" spans="1:7" ht="15" x14ac:dyDescent="0.2">
      <c r="A549" s="79"/>
      <c r="B549" s="79"/>
      <c r="C549" s="79"/>
      <c r="D549" s="55" t="str">
        <f t="shared" si="32"/>
        <v/>
      </c>
      <c r="E549" s="56" t="str">
        <f t="shared" si="35"/>
        <v/>
      </c>
      <c r="F549" s="55" t="str">
        <f t="shared" si="33"/>
        <v/>
      </c>
      <c r="G549" s="55" t="str">
        <f t="shared" si="34"/>
        <v/>
      </c>
    </row>
    <row r="550" spans="1:7" ht="15" customHeight="1" x14ac:dyDescent="0.2">
      <c r="A550" s="79"/>
      <c r="B550" s="79"/>
      <c r="C550" s="79"/>
      <c r="D550" s="55" t="str">
        <f t="shared" si="32"/>
        <v/>
      </c>
      <c r="E550" s="56" t="str">
        <f t="shared" si="35"/>
        <v/>
      </c>
      <c r="F550" s="55" t="str">
        <f t="shared" si="33"/>
        <v/>
      </c>
      <c r="G550" s="55" t="str">
        <f t="shared" si="34"/>
        <v/>
      </c>
    </row>
    <row r="551" spans="1:7" ht="15" customHeight="1" x14ac:dyDescent="0.2">
      <c r="A551" s="79"/>
      <c r="B551" s="79"/>
      <c r="C551" s="79"/>
      <c r="D551" s="55" t="str">
        <f t="shared" si="32"/>
        <v/>
      </c>
      <c r="E551" s="56" t="str">
        <f t="shared" si="35"/>
        <v/>
      </c>
      <c r="F551" s="55" t="str">
        <f t="shared" si="33"/>
        <v/>
      </c>
      <c r="G551" s="55" t="str">
        <f t="shared" si="34"/>
        <v/>
      </c>
    </row>
    <row r="552" spans="1:7" ht="15" x14ac:dyDescent="0.2">
      <c r="A552" s="79"/>
      <c r="B552" s="79"/>
      <c r="C552" s="79"/>
      <c r="D552" s="55" t="str">
        <f t="shared" si="32"/>
        <v/>
      </c>
      <c r="E552" s="56" t="str">
        <f t="shared" si="35"/>
        <v/>
      </c>
      <c r="F552" s="55" t="str">
        <f t="shared" si="33"/>
        <v/>
      </c>
      <c r="G552" s="55" t="str">
        <f t="shared" si="34"/>
        <v/>
      </c>
    </row>
    <row r="553" spans="1:7" ht="15" customHeight="1" x14ac:dyDescent="0.2">
      <c r="A553" s="79"/>
      <c r="B553" s="79"/>
      <c r="C553" s="79"/>
      <c r="D553" s="55" t="str">
        <f t="shared" si="32"/>
        <v/>
      </c>
      <c r="E553" s="56" t="str">
        <f t="shared" si="35"/>
        <v/>
      </c>
      <c r="F553" s="55" t="str">
        <f t="shared" si="33"/>
        <v/>
      </c>
      <c r="G553" s="55" t="str">
        <f t="shared" si="34"/>
        <v/>
      </c>
    </row>
    <row r="554" spans="1:7" ht="15" customHeight="1" x14ac:dyDescent="0.2">
      <c r="A554" s="79"/>
      <c r="B554" s="79"/>
      <c r="C554" s="79"/>
      <c r="D554" s="55" t="str">
        <f t="shared" si="32"/>
        <v/>
      </c>
      <c r="E554" s="56" t="str">
        <f t="shared" si="35"/>
        <v/>
      </c>
      <c r="F554" s="55" t="str">
        <f t="shared" si="33"/>
        <v/>
      </c>
      <c r="G554" s="55" t="str">
        <f t="shared" si="34"/>
        <v/>
      </c>
    </row>
    <row r="555" spans="1:7" ht="15" customHeight="1" x14ac:dyDescent="0.2">
      <c r="A555" s="79"/>
      <c r="B555" s="79"/>
      <c r="C555" s="79"/>
      <c r="D555" s="55" t="str">
        <f t="shared" si="32"/>
        <v/>
      </c>
      <c r="E555" s="56" t="str">
        <f t="shared" si="35"/>
        <v/>
      </c>
      <c r="F555" s="55" t="str">
        <f t="shared" si="33"/>
        <v/>
      </c>
      <c r="G555" s="55" t="str">
        <f t="shared" si="34"/>
        <v/>
      </c>
    </row>
    <row r="556" spans="1:7" ht="15" customHeight="1" x14ac:dyDescent="0.2">
      <c r="A556" s="79"/>
      <c r="B556" s="79"/>
      <c r="C556" s="79"/>
      <c r="D556" s="55" t="str">
        <f t="shared" si="32"/>
        <v/>
      </c>
      <c r="E556" s="56" t="str">
        <f t="shared" si="35"/>
        <v/>
      </c>
      <c r="F556" s="55" t="str">
        <f t="shared" si="33"/>
        <v/>
      </c>
      <c r="G556" s="55" t="str">
        <f t="shared" si="34"/>
        <v/>
      </c>
    </row>
    <row r="557" spans="1:7" ht="15" customHeight="1" x14ac:dyDescent="0.2">
      <c r="A557" s="79"/>
      <c r="B557" s="79"/>
      <c r="C557" s="79"/>
      <c r="D557" s="55" t="str">
        <f t="shared" si="32"/>
        <v/>
      </c>
      <c r="E557" s="56" t="str">
        <f t="shared" si="35"/>
        <v/>
      </c>
      <c r="F557" s="55" t="str">
        <f t="shared" si="33"/>
        <v/>
      </c>
      <c r="G557" s="55" t="str">
        <f t="shared" si="34"/>
        <v/>
      </c>
    </row>
    <row r="558" spans="1:7" ht="15" customHeight="1" x14ac:dyDescent="0.2">
      <c r="A558" s="79"/>
      <c r="B558" s="79"/>
      <c r="C558" s="79"/>
      <c r="D558" s="55" t="str">
        <f t="shared" si="32"/>
        <v/>
      </c>
      <c r="E558" s="56" t="str">
        <f t="shared" si="35"/>
        <v/>
      </c>
      <c r="F558" s="55" t="str">
        <f t="shared" si="33"/>
        <v/>
      </c>
      <c r="G558" s="55" t="str">
        <f t="shared" si="34"/>
        <v/>
      </c>
    </row>
    <row r="559" spans="1:7" ht="15" customHeight="1" x14ac:dyDescent="0.2">
      <c r="A559" s="79"/>
      <c r="B559" s="79"/>
      <c r="C559" s="79"/>
      <c r="D559" s="55" t="str">
        <f t="shared" si="32"/>
        <v/>
      </c>
      <c r="E559" s="56" t="str">
        <f t="shared" si="35"/>
        <v/>
      </c>
      <c r="F559" s="55" t="str">
        <f t="shared" si="33"/>
        <v/>
      </c>
      <c r="G559" s="55" t="str">
        <f t="shared" si="34"/>
        <v/>
      </c>
    </row>
    <row r="560" spans="1:7" ht="15" customHeight="1" x14ac:dyDescent="0.2">
      <c r="A560" s="79"/>
      <c r="B560" s="79"/>
      <c r="C560" s="79"/>
      <c r="D560" s="55" t="str">
        <f t="shared" si="32"/>
        <v/>
      </c>
      <c r="E560" s="56" t="str">
        <f t="shared" si="35"/>
        <v/>
      </c>
      <c r="F560" s="55" t="str">
        <f t="shared" si="33"/>
        <v/>
      </c>
      <c r="G560" s="55" t="str">
        <f t="shared" si="34"/>
        <v/>
      </c>
    </row>
    <row r="561" spans="1:7" ht="15" customHeight="1" x14ac:dyDescent="0.2">
      <c r="A561" s="79"/>
      <c r="B561" s="79"/>
      <c r="C561" s="79"/>
      <c r="D561" s="55" t="str">
        <f t="shared" si="32"/>
        <v/>
      </c>
      <c r="E561" s="56" t="str">
        <f t="shared" si="35"/>
        <v/>
      </c>
      <c r="F561" s="55" t="str">
        <f t="shared" si="33"/>
        <v/>
      </c>
      <c r="G561" s="55" t="str">
        <f t="shared" si="34"/>
        <v/>
      </c>
    </row>
    <row r="562" spans="1:7" ht="15" customHeight="1" x14ac:dyDescent="0.2">
      <c r="A562" s="79"/>
      <c r="B562" s="79"/>
      <c r="C562" s="79"/>
      <c r="D562" s="55" t="str">
        <f t="shared" si="32"/>
        <v/>
      </c>
      <c r="E562" s="56" t="str">
        <f t="shared" si="35"/>
        <v/>
      </c>
      <c r="F562" s="55" t="str">
        <f t="shared" si="33"/>
        <v/>
      </c>
      <c r="G562" s="55" t="str">
        <f t="shared" si="34"/>
        <v/>
      </c>
    </row>
    <row r="563" spans="1:7" ht="15" customHeight="1" x14ac:dyDescent="0.2">
      <c r="A563" s="79"/>
      <c r="B563" s="79"/>
      <c r="C563" s="79"/>
      <c r="D563" s="55" t="str">
        <f t="shared" si="32"/>
        <v/>
      </c>
      <c r="E563" s="56" t="str">
        <f t="shared" si="35"/>
        <v/>
      </c>
      <c r="F563" s="55" t="str">
        <f t="shared" si="33"/>
        <v/>
      </c>
      <c r="G563" s="55" t="str">
        <f t="shared" si="34"/>
        <v/>
      </c>
    </row>
    <row r="564" spans="1:7" ht="15" customHeight="1" x14ac:dyDescent="0.2">
      <c r="A564" s="79"/>
      <c r="B564" s="79"/>
      <c r="C564" s="79"/>
      <c r="D564" s="55" t="str">
        <f t="shared" si="32"/>
        <v/>
      </c>
      <c r="E564" s="56" t="str">
        <f t="shared" si="35"/>
        <v/>
      </c>
      <c r="F564" s="55" t="str">
        <f t="shared" si="33"/>
        <v/>
      </c>
      <c r="G564" s="55" t="str">
        <f t="shared" si="34"/>
        <v/>
      </c>
    </row>
    <row r="565" spans="1:7" ht="15" customHeight="1" x14ac:dyDescent="0.2">
      <c r="A565" s="79"/>
      <c r="B565" s="79"/>
      <c r="C565" s="79"/>
      <c r="D565" s="55" t="str">
        <f t="shared" si="32"/>
        <v/>
      </c>
      <c r="E565" s="56" t="str">
        <f t="shared" si="35"/>
        <v/>
      </c>
      <c r="F565" s="55" t="str">
        <f t="shared" si="33"/>
        <v/>
      </c>
      <c r="G565" s="55" t="str">
        <f t="shared" si="34"/>
        <v/>
      </c>
    </row>
    <row r="566" spans="1:7" ht="15" x14ac:dyDescent="0.2">
      <c r="A566" s="79"/>
      <c r="B566" s="79"/>
      <c r="C566" s="79"/>
      <c r="D566" s="55" t="str">
        <f t="shared" si="32"/>
        <v/>
      </c>
      <c r="E566" s="56" t="str">
        <f t="shared" si="35"/>
        <v/>
      </c>
      <c r="F566" s="55" t="str">
        <f t="shared" si="33"/>
        <v/>
      </c>
      <c r="G566" s="55" t="str">
        <f t="shared" si="34"/>
        <v/>
      </c>
    </row>
    <row r="567" spans="1:7" ht="15" customHeight="1" x14ac:dyDescent="0.2">
      <c r="A567" s="79"/>
      <c r="B567" s="79"/>
      <c r="C567" s="79"/>
      <c r="D567" s="55" t="str">
        <f t="shared" si="32"/>
        <v/>
      </c>
      <c r="E567" s="56" t="str">
        <f t="shared" si="35"/>
        <v/>
      </c>
      <c r="F567" s="55" t="str">
        <f t="shared" si="33"/>
        <v/>
      </c>
      <c r="G567" s="55" t="str">
        <f t="shared" si="34"/>
        <v/>
      </c>
    </row>
    <row r="568" spans="1:7" ht="15" customHeight="1" x14ac:dyDescent="0.2">
      <c r="A568" s="79"/>
      <c r="B568" s="79"/>
      <c r="C568" s="79"/>
      <c r="D568" s="55" t="str">
        <f t="shared" si="32"/>
        <v/>
      </c>
      <c r="E568" s="56" t="str">
        <f t="shared" si="35"/>
        <v/>
      </c>
      <c r="F568" s="55" t="str">
        <f t="shared" si="33"/>
        <v/>
      </c>
      <c r="G568" s="55" t="str">
        <f t="shared" si="34"/>
        <v/>
      </c>
    </row>
    <row r="569" spans="1:7" ht="15" customHeight="1" x14ac:dyDescent="0.2">
      <c r="A569" s="79"/>
      <c r="B569" s="79"/>
      <c r="C569" s="79"/>
      <c r="D569" s="55" t="str">
        <f t="shared" si="32"/>
        <v/>
      </c>
      <c r="E569" s="56" t="str">
        <f t="shared" si="35"/>
        <v/>
      </c>
      <c r="F569" s="55" t="str">
        <f t="shared" si="33"/>
        <v/>
      </c>
      <c r="G569" s="55" t="str">
        <f t="shared" si="34"/>
        <v/>
      </c>
    </row>
    <row r="570" spans="1:7" ht="15" customHeight="1" x14ac:dyDescent="0.2">
      <c r="A570" s="79"/>
      <c r="B570" s="79"/>
      <c r="C570" s="79"/>
      <c r="D570" s="55" t="str">
        <f t="shared" si="32"/>
        <v/>
      </c>
      <c r="E570" s="56" t="str">
        <f t="shared" si="35"/>
        <v/>
      </c>
      <c r="F570" s="55" t="str">
        <f t="shared" si="33"/>
        <v/>
      </c>
      <c r="G570" s="55" t="str">
        <f t="shared" si="34"/>
        <v/>
      </c>
    </row>
    <row r="571" spans="1:7" ht="15" customHeight="1" x14ac:dyDescent="0.2">
      <c r="A571" s="79"/>
      <c r="B571" s="79"/>
      <c r="C571" s="79"/>
      <c r="D571" s="55" t="str">
        <f t="shared" si="32"/>
        <v/>
      </c>
      <c r="E571" s="56" t="str">
        <f t="shared" si="35"/>
        <v/>
      </c>
      <c r="F571" s="55" t="str">
        <f t="shared" si="33"/>
        <v/>
      </c>
      <c r="G571" s="55" t="str">
        <f t="shared" si="34"/>
        <v/>
      </c>
    </row>
    <row r="572" spans="1:7" ht="15" customHeight="1" x14ac:dyDescent="0.2">
      <c r="A572" s="79"/>
      <c r="B572" s="79"/>
      <c r="C572" s="79"/>
      <c r="D572" s="55" t="str">
        <f t="shared" si="32"/>
        <v/>
      </c>
      <c r="E572" s="56" t="str">
        <f t="shared" si="35"/>
        <v/>
      </c>
      <c r="F572" s="55" t="str">
        <f t="shared" si="33"/>
        <v/>
      </c>
      <c r="G572" s="55" t="str">
        <f t="shared" si="34"/>
        <v/>
      </c>
    </row>
    <row r="573" spans="1:7" ht="15" customHeight="1" x14ac:dyDescent="0.2">
      <c r="A573" s="79"/>
      <c r="B573" s="79"/>
      <c r="C573" s="79"/>
      <c r="D573" s="55" t="str">
        <f t="shared" si="32"/>
        <v/>
      </c>
      <c r="E573" s="56" t="str">
        <f t="shared" si="35"/>
        <v/>
      </c>
      <c r="F573" s="55" t="str">
        <f t="shared" si="33"/>
        <v/>
      </c>
      <c r="G573" s="55" t="str">
        <f t="shared" si="34"/>
        <v/>
      </c>
    </row>
    <row r="574" spans="1:7" ht="15" customHeight="1" x14ac:dyDescent="0.2">
      <c r="A574" s="79"/>
      <c r="B574" s="79"/>
      <c r="C574" s="79"/>
      <c r="D574" s="55" t="str">
        <f t="shared" si="32"/>
        <v/>
      </c>
      <c r="E574" s="56" t="str">
        <f t="shared" si="35"/>
        <v/>
      </c>
      <c r="F574" s="55" t="str">
        <f t="shared" si="33"/>
        <v/>
      </c>
      <c r="G574" s="55" t="str">
        <f t="shared" si="34"/>
        <v/>
      </c>
    </row>
    <row r="575" spans="1:7" ht="15" x14ac:dyDescent="0.2">
      <c r="A575" s="79"/>
      <c r="B575" s="79"/>
      <c r="C575" s="79"/>
      <c r="D575" s="55" t="str">
        <f t="shared" si="32"/>
        <v/>
      </c>
      <c r="E575" s="56" t="str">
        <f t="shared" si="35"/>
        <v/>
      </c>
      <c r="F575" s="55" t="str">
        <f t="shared" si="33"/>
        <v/>
      </c>
      <c r="G575" s="55" t="str">
        <f t="shared" si="34"/>
        <v/>
      </c>
    </row>
    <row r="576" spans="1:7" ht="15" customHeight="1" x14ac:dyDescent="0.2">
      <c r="A576" s="79"/>
      <c r="B576" s="79"/>
      <c r="C576" s="79"/>
      <c r="D576" s="55" t="str">
        <f t="shared" si="32"/>
        <v/>
      </c>
      <c r="E576" s="56" t="str">
        <f t="shared" si="35"/>
        <v/>
      </c>
      <c r="F576" s="55" t="str">
        <f t="shared" si="33"/>
        <v/>
      </c>
      <c r="G576" s="55" t="str">
        <f t="shared" si="34"/>
        <v/>
      </c>
    </row>
    <row r="577" spans="1:7" ht="15" customHeight="1" x14ac:dyDescent="0.2">
      <c r="A577" s="79"/>
      <c r="B577" s="79"/>
      <c r="C577" s="79"/>
      <c r="D577" s="55" t="str">
        <f t="shared" si="32"/>
        <v/>
      </c>
      <c r="E577" s="56" t="str">
        <f t="shared" si="35"/>
        <v/>
      </c>
      <c r="F577" s="55" t="str">
        <f t="shared" si="33"/>
        <v/>
      </c>
      <c r="G577" s="55" t="str">
        <f t="shared" si="34"/>
        <v/>
      </c>
    </row>
    <row r="578" spans="1:7" ht="15" customHeight="1" x14ac:dyDescent="0.2">
      <c r="A578" s="79"/>
      <c r="B578" s="79"/>
      <c r="C578" s="79"/>
      <c r="D578" s="55" t="str">
        <f t="shared" si="32"/>
        <v/>
      </c>
      <c r="E578" s="56" t="str">
        <f t="shared" si="35"/>
        <v/>
      </c>
      <c r="F578" s="55" t="str">
        <f t="shared" si="33"/>
        <v/>
      </c>
      <c r="G578" s="55" t="str">
        <f t="shared" si="34"/>
        <v/>
      </c>
    </row>
    <row r="579" spans="1:7" ht="15" x14ac:dyDescent="0.2">
      <c r="A579" s="79"/>
      <c r="B579" s="79"/>
      <c r="C579" s="79"/>
      <c r="D579" s="55" t="str">
        <f t="shared" ref="D579:D614" si="36">IFERROR(IF(B579="","",C579-B579),"")</f>
        <v/>
      </c>
      <c r="E579" s="56" t="str">
        <f t="shared" si="35"/>
        <v/>
      </c>
      <c r="F579" s="55" t="str">
        <f t="shared" ref="F579:F614" si="37">IF(Kielivalinta="","",IF(B579="",IF(Kielivalinta="Suomi","Tieto puuttuu :"&amp;B$3,IF(Kielivalinta="Svenska","Information saknas :"&amp;B$3)),""))</f>
        <v/>
      </c>
      <c r="G579" s="55" t="str">
        <f t="shared" ref="G579:G614" si="38">IF(Kielivalinta="","",IF(C579="",IF(Kielivalinta="Suomi","Tieto puuttuu :"&amp;C$3,IF(Kielivalinta="Svenska","Information saknas :"&amp;C$3)),""))</f>
        <v/>
      </c>
    </row>
    <row r="580" spans="1:7" ht="15" x14ac:dyDescent="0.2">
      <c r="A580" s="79"/>
      <c r="B580" s="79"/>
      <c r="C580" s="79"/>
      <c r="D580" s="55" t="str">
        <f t="shared" si="36"/>
        <v/>
      </c>
      <c r="E580" s="56" t="str">
        <f t="shared" ref="E580:E614" si="39">IFERROR(IF(B580="","",IF(B580=0,"",IF(B580="","",(C580/B580)-1))),"")</f>
        <v/>
      </c>
      <c r="F580" s="55" t="str">
        <f t="shared" si="37"/>
        <v/>
      </c>
      <c r="G580" s="55" t="str">
        <f t="shared" si="38"/>
        <v/>
      </c>
    </row>
    <row r="581" spans="1:7" ht="15" customHeight="1" x14ac:dyDescent="0.2">
      <c r="A581" s="79"/>
      <c r="B581" s="79"/>
      <c r="C581" s="79"/>
      <c r="D581" s="55" t="str">
        <f t="shared" si="36"/>
        <v/>
      </c>
      <c r="E581" s="56" t="str">
        <f t="shared" si="39"/>
        <v/>
      </c>
      <c r="F581" s="55" t="str">
        <f t="shared" si="37"/>
        <v/>
      </c>
      <c r="G581" s="55" t="str">
        <f t="shared" si="38"/>
        <v/>
      </c>
    </row>
    <row r="582" spans="1:7" ht="15" x14ac:dyDescent="0.2">
      <c r="A582" s="79"/>
      <c r="B582" s="79"/>
      <c r="C582" s="79"/>
      <c r="D582" s="55" t="str">
        <f t="shared" si="36"/>
        <v/>
      </c>
      <c r="E582" s="56" t="str">
        <f t="shared" si="39"/>
        <v/>
      </c>
      <c r="F582" s="55" t="str">
        <f t="shared" si="37"/>
        <v/>
      </c>
      <c r="G582" s="55" t="str">
        <f t="shared" si="38"/>
        <v/>
      </c>
    </row>
    <row r="583" spans="1:7" ht="15" x14ac:dyDescent="0.2">
      <c r="A583" s="79"/>
      <c r="B583" s="79"/>
      <c r="C583" s="79"/>
      <c r="D583" s="55" t="str">
        <f t="shared" si="36"/>
        <v/>
      </c>
      <c r="E583" s="56" t="str">
        <f t="shared" si="39"/>
        <v/>
      </c>
      <c r="F583" s="55" t="str">
        <f t="shared" si="37"/>
        <v/>
      </c>
      <c r="G583" s="55" t="str">
        <f t="shared" si="38"/>
        <v/>
      </c>
    </row>
    <row r="584" spans="1:7" ht="15" x14ac:dyDescent="0.2">
      <c r="A584" s="79"/>
      <c r="B584" s="79"/>
      <c r="C584" s="79"/>
      <c r="D584" s="55" t="str">
        <f t="shared" si="36"/>
        <v/>
      </c>
      <c r="E584" s="56" t="str">
        <f t="shared" si="39"/>
        <v/>
      </c>
      <c r="F584" s="55" t="str">
        <f t="shared" si="37"/>
        <v/>
      </c>
      <c r="G584" s="55" t="str">
        <f t="shared" si="38"/>
        <v/>
      </c>
    </row>
    <row r="585" spans="1:7" ht="15" x14ac:dyDescent="0.2">
      <c r="A585" s="79"/>
      <c r="B585" s="79"/>
      <c r="C585" s="79"/>
      <c r="D585" s="55" t="str">
        <f t="shared" si="36"/>
        <v/>
      </c>
      <c r="E585" s="56" t="str">
        <f t="shared" si="39"/>
        <v/>
      </c>
      <c r="F585" s="55" t="str">
        <f t="shared" si="37"/>
        <v/>
      </c>
      <c r="G585" s="55" t="str">
        <f t="shared" si="38"/>
        <v/>
      </c>
    </row>
    <row r="586" spans="1:7" ht="15" x14ac:dyDescent="0.2">
      <c r="A586" s="79"/>
      <c r="B586" s="79"/>
      <c r="C586" s="79"/>
      <c r="D586" s="55" t="str">
        <f t="shared" si="36"/>
        <v/>
      </c>
      <c r="E586" s="56" t="str">
        <f t="shared" si="39"/>
        <v/>
      </c>
      <c r="F586" s="55" t="str">
        <f t="shared" si="37"/>
        <v/>
      </c>
      <c r="G586" s="55" t="str">
        <f t="shared" si="38"/>
        <v/>
      </c>
    </row>
    <row r="587" spans="1:7" ht="15" x14ac:dyDescent="0.2">
      <c r="A587" s="79"/>
      <c r="B587" s="79"/>
      <c r="C587" s="79"/>
      <c r="D587" s="55" t="str">
        <f t="shared" si="36"/>
        <v/>
      </c>
      <c r="E587" s="56" t="str">
        <f t="shared" si="39"/>
        <v/>
      </c>
      <c r="F587" s="55" t="str">
        <f t="shared" si="37"/>
        <v/>
      </c>
      <c r="G587" s="55" t="str">
        <f t="shared" si="38"/>
        <v/>
      </c>
    </row>
    <row r="588" spans="1:7" ht="15" x14ac:dyDescent="0.2">
      <c r="A588" s="79"/>
      <c r="B588" s="79"/>
      <c r="C588" s="79"/>
      <c r="D588" s="55" t="str">
        <f t="shared" si="36"/>
        <v/>
      </c>
      <c r="E588" s="56" t="str">
        <f t="shared" si="39"/>
        <v/>
      </c>
      <c r="F588" s="55" t="str">
        <f t="shared" si="37"/>
        <v/>
      </c>
      <c r="G588" s="55" t="str">
        <f t="shared" si="38"/>
        <v/>
      </c>
    </row>
    <row r="589" spans="1:7" ht="15" x14ac:dyDescent="0.25">
      <c r="A589"/>
      <c r="B589"/>
      <c r="C589"/>
      <c r="D589" s="55" t="str">
        <f t="shared" si="36"/>
        <v/>
      </c>
      <c r="E589" s="56" t="str">
        <f t="shared" si="39"/>
        <v/>
      </c>
      <c r="F589" s="55" t="str">
        <f t="shared" si="37"/>
        <v/>
      </c>
      <c r="G589" s="55" t="str">
        <f t="shared" si="38"/>
        <v/>
      </c>
    </row>
    <row r="590" spans="1:7" ht="15" x14ac:dyDescent="0.25">
      <c r="A590"/>
      <c r="B590"/>
      <c r="C590"/>
      <c r="D590" s="55" t="str">
        <f t="shared" si="36"/>
        <v/>
      </c>
      <c r="E590" s="56" t="str">
        <f t="shared" si="39"/>
        <v/>
      </c>
      <c r="F590" s="55" t="str">
        <f t="shared" si="37"/>
        <v/>
      </c>
      <c r="G590" s="55" t="str">
        <f t="shared" si="38"/>
        <v/>
      </c>
    </row>
    <row r="591" spans="1:7" ht="15" x14ac:dyDescent="0.25">
      <c r="A591"/>
      <c r="B591"/>
      <c r="C591"/>
      <c r="D591" s="55" t="str">
        <f t="shared" si="36"/>
        <v/>
      </c>
      <c r="E591" s="56" t="str">
        <f t="shared" si="39"/>
        <v/>
      </c>
      <c r="F591" s="55" t="str">
        <f t="shared" si="37"/>
        <v/>
      </c>
      <c r="G591" s="55" t="str">
        <f t="shared" si="38"/>
        <v/>
      </c>
    </row>
    <row r="592" spans="1:7" ht="15" x14ac:dyDescent="0.25">
      <c r="A592" s="77"/>
      <c r="B592" s="75"/>
      <c r="C592" s="75"/>
      <c r="D592" s="55" t="str">
        <f t="shared" si="36"/>
        <v/>
      </c>
      <c r="E592" s="56" t="str">
        <f t="shared" si="39"/>
        <v/>
      </c>
      <c r="F592" s="55" t="str">
        <f t="shared" si="37"/>
        <v/>
      </c>
      <c r="G592" s="55" t="str">
        <f t="shared" si="38"/>
        <v/>
      </c>
    </row>
    <row r="593" spans="1:7" ht="15" x14ac:dyDescent="0.25">
      <c r="A593" s="77"/>
      <c r="B593" s="75"/>
      <c r="C593" s="75"/>
      <c r="D593" s="55" t="str">
        <f t="shared" si="36"/>
        <v/>
      </c>
      <c r="E593" s="56" t="str">
        <f t="shared" si="39"/>
        <v/>
      </c>
      <c r="F593" s="55" t="str">
        <f t="shared" si="37"/>
        <v/>
      </c>
      <c r="G593" s="55" t="str">
        <f t="shared" si="38"/>
        <v/>
      </c>
    </row>
    <row r="594" spans="1:7" ht="15" x14ac:dyDescent="0.25">
      <c r="A594" s="77"/>
      <c r="B594" s="75"/>
      <c r="C594" s="75"/>
      <c r="D594" s="55" t="str">
        <f t="shared" si="36"/>
        <v/>
      </c>
      <c r="E594" s="56" t="str">
        <f t="shared" si="39"/>
        <v/>
      </c>
      <c r="F594" s="55" t="str">
        <f t="shared" si="37"/>
        <v/>
      </c>
      <c r="G594" s="55" t="str">
        <f t="shared" si="38"/>
        <v/>
      </c>
    </row>
    <row r="595" spans="1:7" ht="15" x14ac:dyDescent="0.25">
      <c r="A595" s="77"/>
      <c r="B595" s="75"/>
      <c r="C595" s="75"/>
      <c r="D595" s="55" t="str">
        <f t="shared" si="36"/>
        <v/>
      </c>
      <c r="E595" s="56" t="str">
        <f t="shared" si="39"/>
        <v/>
      </c>
      <c r="F595" s="55" t="str">
        <f t="shared" si="37"/>
        <v/>
      </c>
      <c r="G595" s="55" t="str">
        <f t="shared" si="38"/>
        <v/>
      </c>
    </row>
    <row r="596" spans="1:7" ht="15" x14ac:dyDescent="0.25">
      <c r="A596" s="77"/>
      <c r="B596" s="75"/>
      <c r="C596" s="75"/>
      <c r="D596" s="55" t="str">
        <f t="shared" si="36"/>
        <v/>
      </c>
      <c r="E596" s="56" t="str">
        <f t="shared" si="39"/>
        <v/>
      </c>
      <c r="F596" s="55" t="str">
        <f t="shared" si="37"/>
        <v/>
      </c>
      <c r="G596" s="55" t="str">
        <f t="shared" si="38"/>
        <v/>
      </c>
    </row>
    <row r="597" spans="1:7" ht="15" x14ac:dyDescent="0.25">
      <c r="A597" s="77"/>
      <c r="B597" s="75"/>
      <c r="C597" s="75"/>
      <c r="D597" s="55" t="str">
        <f t="shared" si="36"/>
        <v/>
      </c>
      <c r="E597" s="56" t="str">
        <f t="shared" si="39"/>
        <v/>
      </c>
      <c r="F597" s="55" t="str">
        <f t="shared" si="37"/>
        <v/>
      </c>
      <c r="G597" s="55" t="str">
        <f t="shared" si="38"/>
        <v/>
      </c>
    </row>
    <row r="598" spans="1:7" ht="15" x14ac:dyDescent="0.25">
      <c r="A598" s="77"/>
      <c r="B598" s="75"/>
      <c r="C598" s="75"/>
      <c r="D598" s="55" t="str">
        <f t="shared" si="36"/>
        <v/>
      </c>
      <c r="E598" s="56" t="str">
        <f t="shared" si="39"/>
        <v/>
      </c>
      <c r="F598" s="55" t="str">
        <f t="shared" si="37"/>
        <v/>
      </c>
      <c r="G598" s="55" t="str">
        <f t="shared" si="38"/>
        <v/>
      </c>
    </row>
    <row r="599" spans="1:7" ht="15" x14ac:dyDescent="0.25">
      <c r="A599" s="77"/>
      <c r="B599" s="75"/>
      <c r="C599" s="75"/>
      <c r="D599" s="55" t="str">
        <f t="shared" si="36"/>
        <v/>
      </c>
      <c r="E599" s="56" t="str">
        <f t="shared" si="39"/>
        <v/>
      </c>
      <c r="F599" s="55" t="str">
        <f t="shared" si="37"/>
        <v/>
      </c>
      <c r="G599" s="55" t="str">
        <f t="shared" si="38"/>
        <v/>
      </c>
    </row>
    <row r="600" spans="1:7" ht="15" x14ac:dyDescent="0.25">
      <c r="A600" s="77"/>
      <c r="B600" s="75"/>
      <c r="C600" s="75"/>
      <c r="D600" s="55" t="str">
        <f t="shared" si="36"/>
        <v/>
      </c>
      <c r="E600" s="56" t="str">
        <f t="shared" si="39"/>
        <v/>
      </c>
      <c r="F600" s="55" t="str">
        <f t="shared" si="37"/>
        <v/>
      </c>
      <c r="G600" s="55" t="str">
        <f t="shared" si="38"/>
        <v/>
      </c>
    </row>
    <row r="601" spans="1:7" ht="15" x14ac:dyDescent="0.25">
      <c r="A601" s="77"/>
      <c r="B601" s="75"/>
      <c r="C601" s="75"/>
      <c r="D601" s="55" t="str">
        <f t="shared" si="36"/>
        <v/>
      </c>
      <c r="E601" s="56" t="str">
        <f t="shared" si="39"/>
        <v/>
      </c>
      <c r="F601" s="55" t="str">
        <f t="shared" si="37"/>
        <v/>
      </c>
      <c r="G601" s="55" t="str">
        <f t="shared" si="38"/>
        <v/>
      </c>
    </row>
    <row r="602" spans="1:7" ht="15" x14ac:dyDescent="0.25">
      <c r="A602" s="77"/>
      <c r="B602" s="75"/>
      <c r="C602" s="75"/>
      <c r="D602" s="55" t="str">
        <f t="shared" si="36"/>
        <v/>
      </c>
      <c r="E602" s="56" t="str">
        <f t="shared" si="39"/>
        <v/>
      </c>
      <c r="F602" s="55" t="str">
        <f t="shared" si="37"/>
        <v/>
      </c>
      <c r="G602" s="55" t="str">
        <f t="shared" si="38"/>
        <v/>
      </c>
    </row>
    <row r="603" spans="1:7" ht="15" x14ac:dyDescent="0.25">
      <c r="A603" s="77"/>
      <c r="B603" s="75"/>
      <c r="C603" s="75"/>
      <c r="D603" s="55" t="str">
        <f t="shared" si="36"/>
        <v/>
      </c>
      <c r="E603" s="56" t="str">
        <f t="shared" si="39"/>
        <v/>
      </c>
      <c r="F603" s="55" t="str">
        <f t="shared" si="37"/>
        <v/>
      </c>
      <c r="G603" s="55" t="str">
        <f t="shared" si="38"/>
        <v/>
      </c>
    </row>
    <row r="604" spans="1:7" ht="15" x14ac:dyDescent="0.25">
      <c r="A604" s="77"/>
      <c r="B604" s="75"/>
      <c r="C604" s="75"/>
      <c r="D604" s="55" t="str">
        <f t="shared" si="36"/>
        <v/>
      </c>
      <c r="E604" s="56" t="str">
        <f t="shared" si="39"/>
        <v/>
      </c>
      <c r="F604" s="55" t="str">
        <f t="shared" si="37"/>
        <v/>
      </c>
      <c r="G604" s="55" t="str">
        <f t="shared" si="38"/>
        <v/>
      </c>
    </row>
    <row r="605" spans="1:7" ht="15" x14ac:dyDescent="0.25">
      <c r="A605" s="77"/>
      <c r="B605" s="75"/>
      <c r="C605" s="75"/>
      <c r="D605" s="55" t="str">
        <f t="shared" si="36"/>
        <v/>
      </c>
      <c r="E605" s="56" t="str">
        <f t="shared" si="39"/>
        <v/>
      </c>
      <c r="F605" s="55" t="str">
        <f t="shared" si="37"/>
        <v/>
      </c>
      <c r="G605" s="55" t="str">
        <f t="shared" si="38"/>
        <v/>
      </c>
    </row>
    <row r="606" spans="1:7" ht="15" x14ac:dyDescent="0.25">
      <c r="A606" s="77"/>
      <c r="B606" s="75"/>
      <c r="C606" s="75"/>
      <c r="D606" s="55" t="str">
        <f t="shared" si="36"/>
        <v/>
      </c>
      <c r="E606" s="56" t="str">
        <f t="shared" si="39"/>
        <v/>
      </c>
      <c r="F606" s="55" t="str">
        <f t="shared" si="37"/>
        <v/>
      </c>
      <c r="G606" s="55" t="str">
        <f t="shared" si="38"/>
        <v/>
      </c>
    </row>
    <row r="607" spans="1:7" ht="15" x14ac:dyDescent="0.25">
      <c r="A607" s="77"/>
      <c r="B607" s="75"/>
      <c r="C607" s="75"/>
      <c r="D607" s="55" t="str">
        <f t="shared" si="36"/>
        <v/>
      </c>
      <c r="E607" s="56" t="str">
        <f t="shared" si="39"/>
        <v/>
      </c>
      <c r="F607" s="55" t="str">
        <f t="shared" si="37"/>
        <v/>
      </c>
      <c r="G607" s="55" t="str">
        <f t="shared" si="38"/>
        <v/>
      </c>
    </row>
    <row r="608" spans="1:7" ht="15" x14ac:dyDescent="0.25">
      <c r="A608" s="77"/>
      <c r="B608" s="76"/>
      <c r="C608" s="76"/>
      <c r="D608" s="55" t="str">
        <f t="shared" si="36"/>
        <v/>
      </c>
      <c r="E608" s="56" t="str">
        <f t="shared" si="39"/>
        <v/>
      </c>
      <c r="F608" s="55" t="str">
        <f t="shared" si="37"/>
        <v/>
      </c>
      <c r="G608" s="55" t="str">
        <f t="shared" si="38"/>
        <v/>
      </c>
    </row>
    <row r="609" spans="1:7" ht="15" x14ac:dyDescent="0.25">
      <c r="A609" s="77"/>
      <c r="B609" s="75"/>
      <c r="C609" s="75"/>
      <c r="D609" s="55" t="str">
        <f t="shared" si="36"/>
        <v/>
      </c>
      <c r="E609" s="56" t="str">
        <f t="shared" si="39"/>
        <v/>
      </c>
      <c r="F609" s="55" t="str">
        <f t="shared" si="37"/>
        <v/>
      </c>
      <c r="G609" s="55" t="str">
        <f t="shared" si="38"/>
        <v/>
      </c>
    </row>
    <row r="610" spans="1:7" ht="15" x14ac:dyDescent="0.25">
      <c r="A610" s="77"/>
      <c r="B610" s="77"/>
      <c r="C610" s="77"/>
      <c r="D610" s="55" t="str">
        <f t="shared" si="36"/>
        <v/>
      </c>
      <c r="E610" s="56" t="str">
        <f t="shared" si="39"/>
        <v/>
      </c>
      <c r="F610" s="55" t="str">
        <f t="shared" si="37"/>
        <v/>
      </c>
      <c r="G610" s="55" t="str">
        <f t="shared" si="38"/>
        <v/>
      </c>
    </row>
    <row r="611" spans="1:7" ht="15" x14ac:dyDescent="0.25">
      <c r="A611" s="77"/>
      <c r="B611" s="77"/>
      <c r="C611" s="77"/>
      <c r="D611" s="55" t="str">
        <f t="shared" si="36"/>
        <v/>
      </c>
      <c r="E611" s="56" t="str">
        <f t="shared" si="39"/>
        <v/>
      </c>
      <c r="F611" s="55" t="str">
        <f t="shared" si="37"/>
        <v/>
      </c>
      <c r="G611" s="55" t="str">
        <f t="shared" si="38"/>
        <v/>
      </c>
    </row>
    <row r="612" spans="1:7" ht="15" x14ac:dyDescent="0.25">
      <c r="A612" s="77"/>
      <c r="B612" s="77"/>
      <c r="C612" s="77"/>
      <c r="D612" s="55" t="str">
        <f t="shared" si="36"/>
        <v/>
      </c>
      <c r="E612" s="56" t="str">
        <f t="shared" si="39"/>
        <v/>
      </c>
      <c r="F612" s="55" t="str">
        <f t="shared" si="37"/>
        <v/>
      </c>
      <c r="G612" s="55" t="str">
        <f t="shared" si="38"/>
        <v/>
      </c>
    </row>
    <row r="613" spans="1:7" ht="15" x14ac:dyDescent="0.25">
      <c r="A613" s="59"/>
      <c r="B613" s="59"/>
      <c r="C613" s="59"/>
      <c r="D613" s="55" t="str">
        <f t="shared" si="36"/>
        <v/>
      </c>
      <c r="E613" s="56" t="str">
        <f t="shared" si="39"/>
        <v/>
      </c>
      <c r="F613" s="55" t="str">
        <f t="shared" si="37"/>
        <v/>
      </c>
      <c r="G613" s="55" t="str">
        <f t="shared" si="38"/>
        <v/>
      </c>
    </row>
    <row r="614" spans="1:7" ht="15" x14ac:dyDescent="0.25">
      <c r="A614" s="59"/>
      <c r="B614" s="59"/>
      <c r="C614" s="59"/>
      <c r="D614" s="55" t="str">
        <f t="shared" si="36"/>
        <v/>
      </c>
      <c r="E614" s="56" t="str">
        <f t="shared" si="39"/>
        <v/>
      </c>
      <c r="F614" s="55" t="str">
        <f t="shared" si="37"/>
        <v/>
      </c>
      <c r="G614" s="55" t="str">
        <f t="shared" si="38"/>
        <v/>
      </c>
    </row>
    <row r="615" spans="1:7" ht="15" hidden="1" x14ac:dyDescent="0.25">
      <c r="A615" s="59" t="s">
        <v>1276</v>
      </c>
      <c r="B615" s="59"/>
      <c r="C615" s="59"/>
    </row>
  </sheetData>
  <sheetProtection formatCells="0" selectLockedCells="1"/>
  <conditionalFormatting sqref="D2">
    <cfRule type="cellIs" dxfId="78" priority="18" operator="equal">
      <formula>"Valitse kieli - Välj språket"</formula>
    </cfRule>
  </conditionalFormatting>
  <conditionalFormatting sqref="F2">
    <cfRule type="cellIs" dxfId="77" priority="15" operator="equal">
      <formula>"Valitse kieli - Välj språket"</formula>
    </cfRule>
  </conditionalFormatting>
  <conditionalFormatting sqref="G2">
    <cfRule type="cellIs" dxfId="76" priority="14" operator="equal">
      <formula>"Valitse kieli - Välj språket"</formula>
    </cfRule>
  </conditionalFormatting>
  <conditionalFormatting sqref="E3">
    <cfRule type="expression" priority="8">
      <formula>$C4&lt;0.9*$B4</formula>
    </cfRule>
    <cfRule type="expression" dxfId="75" priority="10">
      <formula>$C3&gt;1.1*$B3</formula>
    </cfRule>
  </conditionalFormatting>
  <conditionalFormatting sqref="E4">
    <cfRule type="expression" dxfId="74" priority="6">
      <formula>$C4&lt;0.9*$B4</formula>
    </cfRule>
    <cfRule type="expression" dxfId="73" priority="7">
      <formula>$C4&gt;1.1*$B4</formula>
    </cfRule>
  </conditionalFormatting>
  <conditionalFormatting sqref="E5">
    <cfRule type="expression" dxfId="72" priority="4">
      <formula>$C5&lt;0.9*$B5</formula>
    </cfRule>
    <cfRule type="expression" dxfId="71" priority="5">
      <formula>$C5&gt;1.1*$B5</formula>
    </cfRule>
  </conditionalFormatting>
  <conditionalFormatting sqref="E6:E614">
    <cfRule type="expression" dxfId="70" priority="2">
      <formula>$C6&lt;0.9*$B6</formula>
    </cfRule>
    <cfRule type="expression" dxfId="69" priority="3">
      <formula>$C6&gt;1.1*$B6</formula>
    </cfRule>
  </conditionalFormatting>
  <conditionalFormatting sqref="E2">
    <cfRule type="cellIs" dxfId="68" priority="1" operator="equal">
      <formula>" 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C23"/>
  <sheetViews>
    <sheetView workbookViewId="0"/>
  </sheetViews>
  <sheetFormatPr defaultColWidth="0" defaultRowHeight="15" zeroHeight="1" x14ac:dyDescent="0.25"/>
  <cols>
    <col min="1" max="1" width="65.28515625" style="4" customWidth="1"/>
    <col min="2" max="2" width="85.7109375" style="4" customWidth="1"/>
    <col min="3" max="3" width="7.85546875" style="4" hidden="1" customWidth="1"/>
    <col min="4" max="16383" width="8.85546875" style="4" hidden="1"/>
    <col min="16384" max="16384" width="7.5703125" style="4" hidden="1" customWidth="1"/>
  </cols>
  <sheetData>
    <row r="1" spans="1:4" x14ac:dyDescent="0.25">
      <c r="A1" s="6" t="str">
        <f ca="1">IF(Kielivalinta="","Olet taulussa / Du är i tabellen "&amp;MID(CELL("filename",A1),FIND("]",CELL("filename",A1))+1,255),IF(Kielivalinta="Suomi","Olet taulussa "&amp;MID(CELL("filename",A1),FIND("]",CELL("filename",A1))+1,255),IF(Kielivalinta="Svenska","Du är i tabellen "&amp;MID(CELL("filename",A1),FIND("]",CELL("filename",A1))+1,255))))</f>
        <v>Olet taulussa / Du är i tabellen Ristiintaul_Korstabulering</v>
      </c>
      <c r="B1" s="10" t="str">
        <f ca="1" xml:space="preserve"> MID(CELL("filename",B1),FIND("]",CELL("filename",B1))+1,255)</f>
        <v>Ristiintaul_Korstabulering</v>
      </c>
      <c r="D1" s="9"/>
    </row>
    <row r="2" spans="1:4" ht="21.75" thickBot="1" x14ac:dyDescent="0.4">
      <c r="A2" s="7" t="str">
        <f>Asetukset!L2</f>
        <v/>
      </c>
      <c r="B2" s="48" t="str">
        <f>"KITTCheckSuperTool™  "&amp;MID(Aloitus_Start!E1,22,3)&amp;". "&amp;MID(Aloitus_Start!E1,29,4)</f>
        <v xml:space="preserve">KITTCheckSuperTool™  Ver. 2.0 </v>
      </c>
    </row>
    <row r="3" spans="1:4" ht="15.75" thickTop="1" x14ac:dyDescent="0.25">
      <c r="A3" s="42" t="str">
        <f>IF(Kielivalinta="","",IF(Kielivalinta="Suomi",IF(C12&gt;0,"Tarkista vuosi","Vuosi"),IF(Kielivalinta="Svenska",IF(C12&gt;0,"Granska året","Året"))))</f>
        <v/>
      </c>
      <c r="B3" s="43" t="str">
        <f>IF(C12&gt;0,RIGHT(Data!$B$3,5),RIGHT(Data!$B$3,5)&amp;" ok")</f>
        <v xml:space="preserve"> ok</v>
      </c>
    </row>
    <row r="4" spans="1:4" x14ac:dyDescent="0.25">
      <c r="A4" s="44" t="str">
        <f>Asetukset!L32</f>
        <v/>
      </c>
      <c r="B4" s="45" t="str">
        <f>IF(COUNTA(Data!$A$2:$A$614)=0,"ok",Asetukset!M32)</f>
        <v>ok</v>
      </c>
      <c r="C4" s="5">
        <f>IF(B4="ok",0,1)</f>
        <v>0</v>
      </c>
    </row>
    <row r="5" spans="1:4" x14ac:dyDescent="0.25">
      <c r="A5" s="44" t="str">
        <f>Asetukset!L10</f>
        <v/>
      </c>
      <c r="B5" s="45" t="str">
        <f>IF(COUNTA(Data!$A$2:$A$614)=0,"ok",Asetukset!M10)</f>
        <v>ok</v>
      </c>
      <c r="C5" s="5">
        <f>IF(B5="ok",0,1)</f>
        <v>0</v>
      </c>
    </row>
    <row r="6" spans="1:4" x14ac:dyDescent="0.25">
      <c r="A6" s="44" t="str">
        <f>Asetukset!L11</f>
        <v/>
      </c>
      <c r="B6" s="45" t="str">
        <f>IF(COUNTA(Data!$A$2:$A$614)=0,"ok",Asetukset!M11)</f>
        <v>ok</v>
      </c>
      <c r="C6" s="5">
        <f t="shared" ref="C6:C10" si="0">IF(B6="ok",0,1)</f>
        <v>0</v>
      </c>
    </row>
    <row r="7" spans="1:4" x14ac:dyDescent="0.25">
      <c r="A7" s="44" t="str">
        <f>Asetukset!L17</f>
        <v/>
      </c>
      <c r="B7" s="45" t="str">
        <f>IF(COUNTA(Data!$A$2:$A$614)=0,"ok",Asetukset!M17)</f>
        <v>ok</v>
      </c>
      <c r="C7" s="5">
        <f t="shared" si="0"/>
        <v>0</v>
      </c>
    </row>
    <row r="8" spans="1:4" x14ac:dyDescent="0.25">
      <c r="A8" s="44" t="str">
        <f>Asetukset!L18</f>
        <v/>
      </c>
      <c r="B8" s="45" t="str">
        <f>IF(COUNTA(Data!$A$2:$A$614)=0,"ok",Asetukset!M18)</f>
        <v>ok</v>
      </c>
      <c r="C8" s="5">
        <f t="shared" si="0"/>
        <v>0</v>
      </c>
    </row>
    <row r="9" spans="1:4" x14ac:dyDescent="0.25">
      <c r="A9" s="44" t="str">
        <f>Asetukset!L19</f>
        <v/>
      </c>
      <c r="B9" s="45" t="str">
        <f>IF(COUNTA(Data!$A$2:$A$614)=0,"ok",Asetukset!M19)</f>
        <v>ok</v>
      </c>
      <c r="C9" s="5">
        <f t="shared" si="0"/>
        <v>0</v>
      </c>
    </row>
    <row r="10" spans="1:4" x14ac:dyDescent="0.25">
      <c r="A10" s="44" t="str">
        <f>Asetukset!L23</f>
        <v/>
      </c>
      <c r="B10" s="45" t="str">
        <f>IF(COUNTA(Data!$A$2:$A$614)=0,"ok",Asetukset!M23)</f>
        <v>ok</v>
      </c>
      <c r="C10" s="5">
        <f t="shared" si="0"/>
        <v>0</v>
      </c>
    </row>
    <row r="11" spans="1:4" ht="15.75" thickBot="1" x14ac:dyDescent="0.3">
      <c r="A11" s="46" t="str">
        <f>Asetukset!L27</f>
        <v/>
      </c>
      <c r="B11" s="47" t="str">
        <f>IF(COUNTA(Data!$A$2:$A$614)=0,"ok",Asetukset!M27)</f>
        <v>ok</v>
      </c>
      <c r="C11" s="5">
        <f>IF(B11="ok",0,1)</f>
        <v>0</v>
      </c>
    </row>
    <row r="12" spans="1:4" ht="16.5" hidden="1" thickTop="1" thickBot="1" x14ac:dyDescent="0.3">
      <c r="B12" s="8" t="str">
        <f>"Vuoden "&amp;B3&amp;" tarkistus:"</f>
        <v>Vuoden  ok tarkistus:</v>
      </c>
      <c r="C12" s="5">
        <f>SUM(C4:C11)</f>
        <v>0</v>
      </c>
    </row>
    <row r="13" spans="1:4" ht="15.75" thickTop="1" x14ac:dyDescent="0.25">
      <c r="A13" s="42" t="str">
        <f>IF(Kielivalinta="","",IF(Kielivalinta="Suomi",IF(C22&gt;0,"Tarkista vuosi","Vuosi"),IF(Kielivalinta="Svenska",IF(C22&gt;0,"Granska året","Året"))))</f>
        <v/>
      </c>
      <c r="B13" s="43" t="str">
        <f>IF(C22&gt;0,RIGHT(Data!$C$3,4),RIGHT(Data!$C$3,4)&amp;" ok")</f>
        <v xml:space="preserve"> ok</v>
      </c>
    </row>
    <row r="14" spans="1:4" x14ac:dyDescent="0.25">
      <c r="A14" s="44" t="str">
        <f>Asetukset!L32</f>
        <v/>
      </c>
      <c r="B14" s="45" t="str">
        <f>IF(COUNTA(Data!$A$2:$A$614)=0,"ok",Asetukset!N32)</f>
        <v>ok</v>
      </c>
      <c r="C14" s="5">
        <f>IF(B14="ok",0,1)</f>
        <v>0</v>
      </c>
    </row>
    <row r="15" spans="1:4" x14ac:dyDescent="0.25">
      <c r="A15" s="44" t="str">
        <f>Asetukset!L10</f>
        <v/>
      </c>
      <c r="B15" s="45" t="str">
        <f>IF(COUNTA(Data!$A$2:$A$614)=0,"ok",Asetukset!N10)</f>
        <v>ok</v>
      </c>
      <c r="C15" s="5">
        <f>IF(B15="ok",0,1)</f>
        <v>0</v>
      </c>
    </row>
    <row r="16" spans="1:4" x14ac:dyDescent="0.25">
      <c r="A16" s="44" t="str">
        <f>Asetukset!L11</f>
        <v/>
      </c>
      <c r="B16" s="45" t="str">
        <f>IF(COUNTA(Data!$A$2:$A$614)=0,"ok",Asetukset!N11)</f>
        <v>ok</v>
      </c>
      <c r="C16" s="5">
        <f t="shared" ref="C16:C20" si="1">IF(B16="ok",0,1)</f>
        <v>0</v>
      </c>
    </row>
    <row r="17" spans="1:3" x14ac:dyDescent="0.25">
      <c r="A17" s="44" t="str">
        <f>Asetukset!L17</f>
        <v/>
      </c>
      <c r="B17" s="45" t="str">
        <f>IF(COUNTA(Data!$A$2:$A$614)=0,"ok",Asetukset!N17)</f>
        <v>ok</v>
      </c>
      <c r="C17" s="5">
        <f t="shared" si="1"/>
        <v>0</v>
      </c>
    </row>
    <row r="18" spans="1:3" x14ac:dyDescent="0.25">
      <c r="A18" s="44" t="str">
        <f>Asetukset!L18</f>
        <v/>
      </c>
      <c r="B18" s="45" t="str">
        <f>IF(COUNTA(Data!$A$2:$A$614)=0,"ok",Asetukset!N18)</f>
        <v>ok</v>
      </c>
      <c r="C18" s="5">
        <f t="shared" si="1"/>
        <v>0</v>
      </c>
    </row>
    <row r="19" spans="1:3" x14ac:dyDescent="0.25">
      <c r="A19" s="44" t="str">
        <f>Asetukset!L19</f>
        <v/>
      </c>
      <c r="B19" s="45" t="str">
        <f>IF(COUNTA(Data!$A$2:$A$614)=0,"ok",Asetukset!N19)</f>
        <v>ok</v>
      </c>
      <c r="C19" s="5">
        <f t="shared" si="1"/>
        <v>0</v>
      </c>
    </row>
    <row r="20" spans="1:3" x14ac:dyDescent="0.25">
      <c r="A20" s="44" t="str">
        <f>Asetukset!L23</f>
        <v/>
      </c>
      <c r="B20" s="45" t="str">
        <f>IF(COUNTA(Data!$A$2:$A$614)=0,"ok",Asetukset!N23)</f>
        <v>ok</v>
      </c>
      <c r="C20" s="5">
        <f t="shared" si="1"/>
        <v>0</v>
      </c>
    </row>
    <row r="21" spans="1:3" ht="15.75" thickBot="1" x14ac:dyDescent="0.3">
      <c r="A21" s="46" t="str">
        <f>Asetukset!L27</f>
        <v/>
      </c>
      <c r="B21" s="47" t="str">
        <f>IF(COUNTA(Data!$A$2:$A$614)=0,"ok",Asetukset!N28)</f>
        <v>ok</v>
      </c>
      <c r="C21" s="5">
        <f>IF(B21="ok",0,1)</f>
        <v>0</v>
      </c>
    </row>
    <row r="22" spans="1:3" ht="15.75" hidden="1" thickTop="1" x14ac:dyDescent="0.25">
      <c r="B22" s="8" t="str">
        <f>"Vuoden "&amp;B13&amp;" tarkistus:"</f>
        <v>Vuoden  ok tarkistus:</v>
      </c>
      <c r="C22" s="5">
        <f>SUM(C14:C21)</f>
        <v>0</v>
      </c>
    </row>
    <row r="23" spans="1:3" hidden="1" x14ac:dyDescent="0.25">
      <c r="B23" s="8" t="s">
        <v>668</v>
      </c>
      <c r="C23" s="5">
        <f>SUM(C4:C11)+SUM(C14:C21)</f>
        <v>0</v>
      </c>
    </row>
  </sheetData>
  <sheetProtection algorithmName="SHA-512" hashValue="FYwrMB/pZvcaY49BA6ZkFk0MWPUzBuP+rdvnp1ewrkVzUH9TQxgw24gvzxc4eupMwHP1E5Ubu+AwCQmH1oUJLg==" saltValue="8M0xJTbycEYAjdIkIXfLdQ==" spinCount="100000" sheet="1" objects="1" scenarios="1" selectLockedCells="1" selectUnlockedCells="1"/>
  <conditionalFormatting sqref="B11">
    <cfRule type="cellIs" dxfId="67" priority="61" operator="equal">
      <formula>"ok"</formula>
    </cfRule>
    <cfRule type="cellIs" dxfId="66" priority="72" operator="notEqual">
      <formula>"ok"</formula>
    </cfRule>
  </conditionalFormatting>
  <conditionalFormatting sqref="B5">
    <cfRule type="cellIs" dxfId="65" priority="70" operator="equal">
      <formula>"ok"</formula>
    </cfRule>
    <cfRule type="cellIs" dxfId="64" priority="71" operator="notEqual">
      <formula>"ok"</formula>
    </cfRule>
  </conditionalFormatting>
  <conditionalFormatting sqref="B6">
    <cfRule type="cellIs" dxfId="63" priority="68" operator="equal">
      <formula>"ok"</formula>
    </cfRule>
    <cfRule type="cellIs" dxfId="62" priority="69" operator="notEqual">
      <formula>"ok"</formula>
    </cfRule>
  </conditionalFormatting>
  <conditionalFormatting sqref="B7">
    <cfRule type="cellIs" dxfId="61" priority="66" operator="equal">
      <formula>"ok"</formula>
    </cfRule>
    <cfRule type="cellIs" dxfId="60" priority="67" operator="notEqual">
      <formula>"ok"</formula>
    </cfRule>
  </conditionalFormatting>
  <conditionalFormatting sqref="B9">
    <cfRule type="cellIs" dxfId="59" priority="64" operator="equal">
      <formula>"ok"</formula>
    </cfRule>
    <cfRule type="cellIs" dxfId="58" priority="65" operator="notEqual">
      <formula>"ok"</formula>
    </cfRule>
  </conditionalFormatting>
  <conditionalFormatting sqref="B10">
    <cfRule type="cellIs" dxfId="57" priority="62" operator="equal">
      <formula>"ok"</formula>
    </cfRule>
    <cfRule type="cellIs" dxfId="56" priority="63" operator="notEqual">
      <formula>"ok"</formula>
    </cfRule>
  </conditionalFormatting>
  <conditionalFormatting sqref="B15">
    <cfRule type="cellIs" dxfId="55" priority="59" operator="equal">
      <formula>"ok"</formula>
    </cfRule>
    <cfRule type="cellIs" dxfId="54" priority="60" operator="notEqual">
      <formula>"ok"</formula>
    </cfRule>
  </conditionalFormatting>
  <conditionalFormatting sqref="B16">
    <cfRule type="cellIs" dxfId="53" priority="57" operator="equal">
      <formula>"ok"</formula>
    </cfRule>
    <cfRule type="cellIs" dxfId="52" priority="58" operator="notEqual">
      <formula>"ok"</formula>
    </cfRule>
  </conditionalFormatting>
  <conditionalFormatting sqref="B17">
    <cfRule type="cellIs" dxfId="51" priority="53" operator="equal">
      <formula>"ok"</formula>
    </cfRule>
    <cfRule type="cellIs" dxfId="50" priority="54" operator="notEqual">
      <formula>"ok"</formula>
    </cfRule>
  </conditionalFormatting>
  <conditionalFormatting sqref="B19:B21">
    <cfRule type="cellIs" dxfId="49" priority="51" operator="equal">
      <formula>"ok"</formula>
    </cfRule>
    <cfRule type="cellIs" dxfId="48" priority="52" operator="notEqual">
      <formula>"ok"</formula>
    </cfRule>
  </conditionalFormatting>
  <conditionalFormatting sqref="A5">
    <cfRule type="expression" dxfId="47" priority="49">
      <formula>$B$5="ok"</formula>
    </cfRule>
    <cfRule type="expression" dxfId="46" priority="50">
      <formula>$B$5&lt;&gt;"ok"</formula>
    </cfRule>
  </conditionalFormatting>
  <conditionalFormatting sqref="A6">
    <cfRule type="expression" dxfId="45" priority="47">
      <formula>$B$6="ok"</formula>
    </cfRule>
    <cfRule type="expression" dxfId="44" priority="48">
      <formula>$B$6&lt;&gt;"ok"</formula>
    </cfRule>
  </conditionalFormatting>
  <conditionalFormatting sqref="A7">
    <cfRule type="expression" dxfId="43" priority="45">
      <formula>$B$7="ok"</formula>
    </cfRule>
    <cfRule type="expression" dxfId="42" priority="46">
      <formula>$B$7&lt;&gt;"ok"</formula>
    </cfRule>
  </conditionalFormatting>
  <conditionalFormatting sqref="A9">
    <cfRule type="expression" dxfId="41" priority="43">
      <formula>$B$9="ok"</formula>
    </cfRule>
    <cfRule type="expression" dxfId="40" priority="44">
      <formula>$B$9&lt;&gt;"ok"</formula>
    </cfRule>
  </conditionalFormatting>
  <conditionalFormatting sqref="A10">
    <cfRule type="expression" dxfId="39" priority="41">
      <formula>$B$10="ok"</formula>
    </cfRule>
    <cfRule type="expression" dxfId="38" priority="42">
      <formula>$B$10&lt;&gt;"ok"</formula>
    </cfRule>
  </conditionalFormatting>
  <conditionalFormatting sqref="A11">
    <cfRule type="expression" dxfId="37" priority="39">
      <formula>$B$11="ok"</formula>
    </cfRule>
    <cfRule type="expression" dxfId="36" priority="40">
      <formula>$B$11&lt;&gt;"ok"</formula>
    </cfRule>
  </conditionalFormatting>
  <conditionalFormatting sqref="A15">
    <cfRule type="expression" dxfId="35" priority="37">
      <formula>$B$15="ok"</formula>
    </cfRule>
    <cfRule type="expression" dxfId="34" priority="38">
      <formula>$B$15&lt;&gt;"ok"</formula>
    </cfRule>
  </conditionalFormatting>
  <conditionalFormatting sqref="A16">
    <cfRule type="expression" dxfId="33" priority="35">
      <formula>$B$16="ok"</formula>
    </cfRule>
    <cfRule type="expression" dxfId="32" priority="36">
      <formula>$B$16&lt;&gt;"ok"</formula>
    </cfRule>
  </conditionalFormatting>
  <conditionalFormatting sqref="A17">
    <cfRule type="expression" dxfId="31" priority="33">
      <formula>$B$17="ok"</formula>
    </cfRule>
    <cfRule type="expression" dxfId="30" priority="34">
      <formula>$B$17&lt;&gt;"ok"</formula>
    </cfRule>
  </conditionalFormatting>
  <conditionalFormatting sqref="A19">
    <cfRule type="expression" dxfId="29" priority="31">
      <formula>$B$19="ok"</formula>
    </cfRule>
    <cfRule type="expression" dxfId="28" priority="32">
      <formula>$B$19&lt;&gt;"ok"</formula>
    </cfRule>
  </conditionalFormatting>
  <conditionalFormatting sqref="A20">
    <cfRule type="expression" dxfId="27" priority="29">
      <formula>$B$20="ok"</formula>
    </cfRule>
    <cfRule type="expression" dxfId="26" priority="30">
      <formula>$B$20&lt;&gt;"ok"</formula>
    </cfRule>
  </conditionalFormatting>
  <conditionalFormatting sqref="A21">
    <cfRule type="expression" dxfId="25" priority="27">
      <formula>$B$21="ok"</formula>
    </cfRule>
    <cfRule type="expression" dxfId="24" priority="28">
      <formula>$B$21&lt;&gt;"ok"</formula>
    </cfRule>
  </conditionalFormatting>
  <conditionalFormatting sqref="A3">
    <cfRule type="expression" dxfId="23" priority="25">
      <formula>$C$12=0</formula>
    </cfRule>
    <cfRule type="expression" dxfId="22" priority="26">
      <formula>$C$12&lt;&gt;0</formula>
    </cfRule>
  </conditionalFormatting>
  <conditionalFormatting sqref="B3">
    <cfRule type="expression" dxfId="21" priority="23">
      <formula>$C$12=0</formula>
    </cfRule>
    <cfRule type="expression" dxfId="20" priority="24">
      <formula>$C$12&lt;&gt;0</formula>
    </cfRule>
  </conditionalFormatting>
  <conditionalFormatting sqref="B13">
    <cfRule type="expression" dxfId="19" priority="19">
      <formula>$C$22=0</formula>
    </cfRule>
    <cfRule type="expression" dxfId="18" priority="20">
      <formula>$C$22&lt;&gt;0</formula>
    </cfRule>
  </conditionalFormatting>
  <conditionalFormatting sqref="A13">
    <cfRule type="expression" dxfId="17" priority="17">
      <formula>$C$22=0</formula>
    </cfRule>
    <cfRule type="expression" dxfId="16" priority="18">
      <formula>$C$22&lt;&gt;0</formula>
    </cfRule>
  </conditionalFormatting>
  <conditionalFormatting sqref="B8">
    <cfRule type="cellIs" dxfId="15" priority="15" operator="equal">
      <formula>"ok"</formula>
    </cfRule>
    <cfRule type="cellIs" dxfId="14" priority="16" operator="notEqual">
      <formula>"ok"</formula>
    </cfRule>
  </conditionalFormatting>
  <conditionalFormatting sqref="A8">
    <cfRule type="expression" dxfId="13" priority="13">
      <formula>$B$8="ok"</formula>
    </cfRule>
    <cfRule type="expression" dxfId="12" priority="14">
      <formula>$B$8&lt;&gt;"ok"</formula>
    </cfRule>
  </conditionalFormatting>
  <conditionalFormatting sqref="B18">
    <cfRule type="cellIs" dxfId="11" priority="11" operator="equal">
      <formula>"ok"</formula>
    </cfRule>
    <cfRule type="cellIs" dxfId="10" priority="12" operator="notEqual">
      <formula>"ok"</formula>
    </cfRule>
  </conditionalFormatting>
  <conditionalFormatting sqref="A18">
    <cfRule type="expression" dxfId="9" priority="9">
      <formula>$B$18="ok"</formula>
    </cfRule>
    <cfRule type="expression" dxfId="8" priority="10">
      <formula>$B$18&lt;&gt;"ok"</formula>
    </cfRule>
  </conditionalFormatting>
  <conditionalFormatting sqref="B4">
    <cfRule type="cellIs" dxfId="7" priority="7" operator="equal">
      <formula>"ok"</formula>
    </cfRule>
    <cfRule type="cellIs" dxfId="6" priority="8" operator="notEqual">
      <formula>"ok"</formula>
    </cfRule>
  </conditionalFormatting>
  <conditionalFormatting sqref="A4">
    <cfRule type="expression" dxfId="5" priority="5">
      <formula>$B$4="ok"</formula>
    </cfRule>
    <cfRule type="expression" dxfId="4" priority="6">
      <formula>$B$4&lt;&gt;"ok"</formula>
    </cfRule>
  </conditionalFormatting>
  <conditionalFormatting sqref="B14">
    <cfRule type="cellIs" dxfId="3" priority="3" operator="equal">
      <formula>"ok"</formula>
    </cfRule>
    <cfRule type="cellIs" dxfId="2" priority="4" operator="notEqual">
      <formula>"ok"</formula>
    </cfRule>
  </conditionalFormatting>
  <conditionalFormatting sqref="A14">
    <cfRule type="expression" dxfId="1" priority="1">
      <formula>$B$14="ok"</formula>
    </cfRule>
    <cfRule type="expression" dxfId="0" priority="2">
      <formula>$B$14&lt;&gt;"ok"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W1004"/>
  <sheetViews>
    <sheetView zoomScaleNormal="100" workbookViewId="0"/>
  </sheetViews>
  <sheetFormatPr defaultColWidth="0" defaultRowHeight="11.25" zeroHeight="1" x14ac:dyDescent="0.2"/>
  <cols>
    <col min="1" max="1" width="26.5703125" style="13" customWidth="1"/>
    <col min="2" max="49" width="9.140625" style="13" customWidth="1"/>
    <col min="50" max="16384" width="9.140625" style="13" hidden="1"/>
  </cols>
  <sheetData>
    <row r="1" spans="1:49" ht="14.45" customHeight="1" x14ac:dyDescent="0.25">
      <c r="A1" s="11" t="str">
        <f ca="1">IF(Kielivalinta="","Olet taulussa / Du är i tabellen "&amp;MID(CELL("filename",A1),FIND("]",CELL("filename",A1))+1,255),IF(Kielivalinta="Suomi","Olet taulussa "&amp;MID(CELL("filename",A1),FIND("]",CELL("filename",A1))+1,255),IF(Kielivalinta="Svenska","Du är i tabellen "&amp;MID(CELL("filename",A1),FIND("]",CELL("filename",A1))+1,255))))</f>
        <v>Olet taulussa / Du är i tabellen Grafiikka_Grafik</v>
      </c>
      <c r="B1" s="12"/>
      <c r="C1" s="12"/>
      <c r="D1" s="50" t="str">
        <f ca="1" xml:space="preserve"> MID(CELL("filename",D1),FIND("]",CELL("filename",D1))+1,255)</f>
        <v>Grafiikka_Grafik</v>
      </c>
      <c r="E1" s="109" t="s">
        <v>1275</v>
      </c>
      <c r="F1" s="112"/>
      <c r="G1" s="1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15.6" customHeight="1" x14ac:dyDescent="0.25">
      <c r="A2" s="12"/>
      <c r="B2" s="12"/>
      <c r="C2" s="11"/>
      <c r="D2" s="11"/>
      <c r="E2" s="112"/>
      <c r="F2" s="112"/>
      <c r="G2" s="112"/>
      <c r="H2" s="49" t="str">
        <f>MID(Aloitus_Start!E1,22,3)&amp;". "&amp;MID(Aloitus_Start!E1,29,4)</f>
        <v xml:space="preserve">Ver. 2.0 </v>
      </c>
      <c r="I2" s="12"/>
      <c r="J2" s="12"/>
      <c r="K2" s="11"/>
      <c r="L2" s="12"/>
      <c r="M2" s="12"/>
      <c r="N2" s="12"/>
      <c r="O2" s="11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49" ht="15.75" x14ac:dyDescent="0.25">
      <c r="A3" s="35" t="str">
        <f>IF(Ristiintaul_Korstabulering!C23=0,"",IF(Kielivalinta="","",IF(Kielivalinta="Suomi",IF(Ristiintaul_Korstabulering!C23&gt;0,"Huom: Grafiikka piirtyy kaikilta osin oikein vain, jos ristiintaulukoinnissa ei ole virheitä - varmista sen vuoksi, että korjaat ristiintaulukoinnissa esiin tulleet virheet."),IF(Kielivalinta="Svenska",IF(Ristiintaul_Korstabulering!C23&gt;0,"Obs: Grafiken blir helt korrekt endast om det finns inga fel i korstabuleringen - därför se till att du korrigerar alla fel som uppstod i korstabuleringen.","")))))</f>
        <v/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15.75" x14ac:dyDescent="0.25">
      <c r="A4" s="36" t="str">
        <f>IF(Kielivalinta="","",IF(Kielivalinta="Suomi","Huom: Diagrammityypissä 'Sektori sekrorista' (esim. kohdassa Kirjaston ulkoinen vaikuttavuus) näkyvä kieli riippuu osittain Officen kieliasetuksista",IF(Kielivalinta="Svenska","OBS: Språket på diagrammtypen 'Cirkel av cirkel' (t.ex. i diagrammet Bibliotekets yttre genomslag) beror delvis på Offices språkinställningar")))</f>
        <v/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ht="15.75" x14ac:dyDescent="0.25">
      <c r="A5" s="33" t="str">
        <f>IF(Kielivalinta="","",IF(Kielivalinta="Suomi","Alla olevat otsikot ovat linkkejä kohteeseen",IF(Kielivalinta="Svenska","Titlarna nedan är länkar")))</f>
        <v/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39" customFormat="1" ht="15" x14ac:dyDescent="0.25">
      <c r="A6" s="40" t="str">
        <f>IF(Kielivalinta="","",IF(Kielivalinta="Suomi","Palvelut",IF(Kielivalinta="Svenska","Tjänster")))</f>
        <v/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</row>
    <row r="7" spans="1:49" s="39" customFormat="1" ht="15" x14ac:dyDescent="0.25">
      <c r="A7" s="37" t="str">
        <f>IF(Kielivalinta="","",IF(Kielivalinta="Suomi","     Kirjaston ulkoinen vaikuttavuus",IF(Kielivalinta="Svenska","     Bbibliotekets yttre genomslag")))</f>
        <v/>
      </c>
      <c r="B7" s="38"/>
      <c r="C7" s="37" t="str">
        <f>IF(Kielivalinta="","",IF(Kielivalinta="Suomi","     Lainaus ja uusinnat",IF(Kielivalinta="Svenska","     Lån och förnyelser")))</f>
        <v/>
      </c>
      <c r="D7" s="38"/>
      <c r="E7" s="38"/>
      <c r="F7" s="37" t="str">
        <f>IF(Kielivalinta="","",IF(Kielivalinta="Suomi","     Aukiolo",IF(Kielivalinta="Svenska","     Öppethållning")))</f>
        <v/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</row>
    <row r="8" spans="1:49" s="39" customFormat="1" ht="15" x14ac:dyDescent="0.25">
      <c r="A8" s="37" t="str">
        <f>IF(Kielivalinta="","",IF(Kielivalinta="Suomi","     Opetus",IF(Kielivalinta="Svenska","     Undervisning")))</f>
        <v/>
      </c>
      <c r="B8" s="38"/>
      <c r="C8" s="37" t="str">
        <f>IF(Kielivalinta="","",IF(Kielivalinta="Suomi","     Kokonaislainaus",IF(Kielivalinta="Svenska","     Totalutlåningen")))</f>
        <v/>
      </c>
      <c r="D8" s="38"/>
      <c r="E8" s="38"/>
      <c r="F8" s="37" t="str">
        <f>IF(Kielivalinta="","",IF(Kielivalinta="Suomi","          Aukiolotunnit",IF(Kielivalinta="Svenska","          Öppethållningstimmar")))</f>
        <v/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s="39" customFormat="1" ht="15" x14ac:dyDescent="0.25">
      <c r="A9" s="37" t="str">
        <f>IF(Kielivalinta="","",IF(Kielivalinta="Suomi","     Aktiiviset lainaajat",IF(Kielivalinta="Svenska","     Aktiva låntagare")))</f>
        <v/>
      </c>
      <c r="B9" s="38"/>
      <c r="C9" s="37" t="str">
        <f>IF(Kielivalinta="","",IF(Kielivalinta="Suomi","     Kaukolainat",IF(Kielivalinta="Svenska","     Fjärrlån")))</f>
        <v/>
      </c>
      <c r="D9" s="38"/>
      <c r="E9" s="38"/>
      <c r="F9" s="37" t="str">
        <f>IF(Kielivalinta="","",IF(Kielivalinta="Suomi","          Aukiolopäivät",IF(Kielivalinta="Svenska","          Öppethållningsdagar")))</f>
        <v/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</row>
    <row r="10" spans="1:49" s="39" customFormat="1" ht="15" x14ac:dyDescent="0.25">
      <c r="A10" s="37" t="str">
        <f>IF(Kielivalinta="","",IF(Kielivalinta="Suomi","     KITT2030 asiakasluokittelu",IF(Kielivalinta="Svenska","     KITT2030 kundklassificering")))</f>
        <v/>
      </c>
      <c r="B10" s="38"/>
      <c r="C10" s="37" t="str">
        <f>IF(Kielivalinta="","",IF(Kielivalinta="Suomi","     Tietopalvelu",IF(Kielivalinta="Svenska","     Informationstjänst")))</f>
        <v/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</row>
    <row r="11" spans="1:49" s="39" customFormat="1" ht="15" x14ac:dyDescent="0.25">
      <c r="A11" s="37" t="str">
        <f>IF(Kielivalinta="","",IF(Kielivalinta="Suomi","     Kirjastokäynnit",IF(Kielivalinta="Svenska","     Biblioteksbesök")))</f>
        <v/>
      </c>
      <c r="B11" s="38"/>
      <c r="C11" s="37" t="str">
        <f>IF(Kielivalinta="","",IF(Kielivalinta="Suomi","     Elektroniset palvelut",IF(Kielivalinta="Svenska","     Elektroniska tjänster")))</f>
        <v/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</row>
    <row r="12" spans="1:49" s="41" customFormat="1" ht="15" x14ac:dyDescent="0.25">
      <c r="A12" s="40" t="str">
        <f>IF(Kielivalinta="","",IF(Kielivalinta="Suomi","Kokoelmat",IF(Kielivalinta="Svenska","Samlingar")))</f>
        <v/>
      </c>
      <c r="C12" s="40"/>
    </row>
    <row r="13" spans="1:49" s="39" customFormat="1" ht="15" x14ac:dyDescent="0.25">
      <c r="A13" s="37" t="str">
        <f>IF(Kielivalinta="","",IF(Kielivalinta="Suomi","     Painetut ja elektroniset",IF(Kielivalinta="Svenska","     Tryckta och elektroniska")))</f>
        <v/>
      </c>
      <c r="B13" s="38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</row>
    <row r="14" spans="1:49" s="39" customFormat="1" ht="15" x14ac:dyDescent="0.25">
      <c r="A14" s="37" t="str">
        <f>IF(Kielivalinta="","",IF(Kielivalinta="Suomi","     Saapuvat kausijulkaisut",IF(Kielivalinta="Svenska","     Inkommande periodika")))</f>
        <v/>
      </c>
      <c r="B14" s="38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</row>
    <row r="15" spans="1:49" s="39" customFormat="1" ht="15" x14ac:dyDescent="0.25">
      <c r="A15" s="37" t="str">
        <f>IF(Kielivalinta="","",IF(Kielivalinta="Suomi","     Kirjahankinnat",IF(Kielivalinta="Svenska","     Förvärv av böcker")))</f>
        <v/>
      </c>
      <c r="B15" s="38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</row>
    <row r="16" spans="1:49" s="41" customFormat="1" ht="15" x14ac:dyDescent="0.25">
      <c r="A16" s="40" t="str">
        <f>IF(Kielivalinta="","",IF(Kielivalinta="Suomi","Talous",IF(Kielivalinta="Svenska","Ekonomi")))</f>
        <v/>
      </c>
    </row>
    <row r="17" spans="1:49" s="39" customFormat="1" ht="15" x14ac:dyDescent="0.25">
      <c r="A17" s="37" t="str">
        <f>IF(Kielivalinta="","",IF(Kielivalinta="Suomi","     Toimintamenot pääluokittain",IF(Kielivalinta="Svenska","     Verksamsutgifter enligt huvudtitlar")))</f>
        <v/>
      </c>
      <c r="B17" s="38"/>
      <c r="C17" s="37" t="str">
        <f>IF(Kielivalinta="","",IF(Kielivalinta="Suomi","     Rahoituslähteet",IF(Kielivalinta="Svenska","     Finansieringskällor")))</f>
        <v/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</row>
    <row r="18" spans="1:49" s="39" customFormat="1" ht="15" x14ac:dyDescent="0.25">
      <c r="A18" s="37" t="str">
        <f>IF(Kielivalinta="","",IF(Kielivalinta="Suomi","     Aineistomenot pääluokittain",IF(Kielivalinta="Svenska","     Materialutgifter enligt huvudtitlar")))</f>
        <v/>
      </c>
      <c r="B18" s="38"/>
      <c r="C18" s="37" t="str">
        <f>IF(Kielivalinta="","",IF(Kielivalinta="Suomi","     Projektirahoitus",IF(Kielivalinta="Svenska","     Projektfinansiering")))</f>
        <v/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</row>
    <row r="19" spans="1:49" s="39" customFormat="1" ht="15" x14ac:dyDescent="0.25">
      <c r="A19" s="37" t="str">
        <f>IF(Kielivalinta="","",IF(Kielivalinta="Suomi","     Aineistomenot, kaikki luokat",IF(Kielivalinta="Svenska","     Materialutgifter, alla titlar")))</f>
        <v/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</row>
    <row r="20" spans="1:49" s="41" customFormat="1" ht="15" x14ac:dyDescent="0.25">
      <c r="A20" s="40" t="str">
        <f>IF(Kielivalinta="","",IF(Kielivalinta="Suomi","Henkilöstö",IF(Kielivalinta="Svenska","Personal")))</f>
        <v/>
      </c>
    </row>
    <row r="21" spans="1:49" s="39" customFormat="1" ht="15" x14ac:dyDescent="0.25">
      <c r="A21" s="37" t="str">
        <f>IF(Kielivalinta="","",IF(Kielivalinta="Suomi","     Henkilöstö rahoituslähteittäin",IF(Kielivalinta="Svenska","     Personal enligt finansieringskällor")))</f>
        <v/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</row>
    <row r="22" spans="1:49" s="39" customFormat="1" ht="15" x14ac:dyDescent="0.25">
      <c r="A22" s="37" t="str">
        <f>IF(Kielivalinta="","",IF(Kielivalinta="Suomi","     Henkilöstö ammatillisuuden mukaan",IF(Kielivalinta="Svenska","     Personal enligt yrkesmässighet")))</f>
        <v/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1:49" s="39" customFormat="1" ht="15" x14ac:dyDescent="0.25">
      <c r="A23" s="37" t="str">
        <f>IF(Kielivalinta="","",IF(Kielivalinta="Suomi","     Henkilöstökoulutus",IF(Kielivalinta="Svenska","     Personalutbildning")))</f>
        <v/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</row>
    <row r="24" spans="1:49" ht="18.75" x14ac:dyDescent="0.3">
      <c r="A24" s="15" t="str">
        <f>IF(Data!$B$3="","",Data!$B$3&amp;" - "&amp;RIGHT(Data!$C$3,4))</f>
        <v/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ht="15.75" x14ac:dyDescent="0.25">
      <c r="A25" s="17" t="str">
        <f>IF(Kielivalinta="","",IF(Kielivalinta="Suomi","Palvelut",IF(Kielivalinta="Svenska","Tjänster")))</f>
        <v/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2">
      <c r="A26" s="18" t="str">
        <f>IF(Kielivalinta="","",IF(Kielivalinta="Suomi","Aktiiviset lainaajat",IF(Kielivalinta="Svenska","Aktiva låntagare")))</f>
        <v/>
      </c>
    </row>
    <row r="27" spans="1:49" x14ac:dyDescent="0.2">
      <c r="A27" s="14"/>
      <c r="B27" s="19" t="str">
        <f>RIGHT(Data!$B$3,5)</f>
        <v/>
      </c>
      <c r="C27" s="19" t="str">
        <f>RIGHT(Data!$C$3,4)</f>
        <v/>
      </c>
      <c r="E27" s="20" t="str">
        <f>A26&amp;", "&amp;A24</f>
        <v xml:space="preserve">, </v>
      </c>
      <c r="F27" s="13" t="str">
        <f>A26&amp;", "&amp;Data!$C$3</f>
        <v xml:space="preserve">, </v>
      </c>
    </row>
    <row r="28" spans="1:49" x14ac:dyDescent="0.2">
      <c r="A28" s="13" t="str">
        <f>IF(Kielivalinta="","",IF(Kielivalinta="Suomi","Oma opiskelija",IF(Kielivalinta="Svenska","Egen student")))</f>
        <v/>
      </c>
      <c r="B28" s="21" t="str">
        <f>Asetukset!G302</f>
        <v/>
      </c>
      <c r="C28" s="21" t="str">
        <f>Asetukset!H302</f>
        <v/>
      </c>
    </row>
    <row r="29" spans="1:49" x14ac:dyDescent="0.2">
      <c r="A29" s="13" t="str">
        <f>IF(Kielivalinta="","",IF(Kielivalinta="Suomi","Oma henkilökunta",IF(Kielivalinta="Svenska","Egen personal")))</f>
        <v/>
      </c>
      <c r="B29" s="21" t="str">
        <f>Asetukset!G303</f>
        <v/>
      </c>
      <c r="C29" s="21" t="str">
        <f>Asetukset!H303</f>
        <v/>
      </c>
    </row>
    <row r="30" spans="1:49" x14ac:dyDescent="0.2">
      <c r="A30" s="13" t="str">
        <f>IF(Kielivalinta="","",IF(Kielivalinta="Suomi","Muu asiakas",IF(Kielivalinta="Svenska","Övrig kund")))</f>
        <v/>
      </c>
      <c r="B30" s="21" t="str">
        <f>Asetukset!G304</f>
        <v/>
      </c>
      <c r="C30" s="21" t="str">
        <f>Asetukset!H304</f>
        <v/>
      </c>
    </row>
    <row r="31" spans="1:49" x14ac:dyDescent="0.2">
      <c r="A31" s="18" t="str">
        <f>IF(Kielivalinta="","",IF(Kielivalinta="Suomi","Yhteensä",IF(Kielivalinta="Svenska","Tillsammans")))</f>
        <v/>
      </c>
      <c r="B31" s="22">
        <f>Asetukset!G305</f>
        <v>0</v>
      </c>
      <c r="C31" s="22">
        <f>Asetukset!H305</f>
        <v>0</v>
      </c>
    </row>
    <row r="32" spans="1:49" x14ac:dyDescent="0.2">
      <c r="B32" s="21"/>
      <c r="C32" s="21"/>
    </row>
    <row r="33" spans="1:12" x14ac:dyDescent="0.2">
      <c r="A33" s="18" t="str">
        <f>IF(Kielivalinta="","",IF(Kielivalinta="Suomi","KITT2030 asiakasluokittelu",IF(Kielivalinta="Svenska","KITT2030 kundklassificering")))</f>
        <v/>
      </c>
      <c r="C33" s="21"/>
    </row>
    <row r="34" spans="1:12" x14ac:dyDescent="0.2">
      <c r="B34" s="23" t="str">
        <f>RIGHT(Data!$B$3,5)</f>
        <v/>
      </c>
      <c r="C34" s="23" t="str">
        <f>RIGHT(Data!$C$3,4)</f>
        <v/>
      </c>
    </row>
    <row r="35" spans="1:12" x14ac:dyDescent="0.2">
      <c r="A35" s="13" t="str">
        <f>IF(Kielivalinta="","",IF(Kielivalinta="Suomi","Oma henkilökunta",IF(Kielivalinta="Svenska","Egen personal")))</f>
        <v/>
      </c>
      <c r="B35" s="21" t="str">
        <f>Asetukset!G309</f>
        <v/>
      </c>
      <c r="C35" s="21" t="str">
        <f>Asetukset!H309</f>
        <v/>
      </c>
    </row>
    <row r="36" spans="1:12" x14ac:dyDescent="0.2">
      <c r="A36" s="13" t="str">
        <f>IF(Kielivalinta="","",IF(Kielivalinta="Suomi","Oma opiskelija",IF(Kielivalinta="Svenska","Egen student")))</f>
        <v/>
      </c>
      <c r="B36" s="21" t="str">
        <f>Asetukset!G310</f>
        <v/>
      </c>
      <c r="C36" s="21" t="str">
        <f>Asetukset!H310</f>
        <v/>
      </c>
    </row>
    <row r="37" spans="1:12" x14ac:dyDescent="0.2">
      <c r="A37" s="13" t="str">
        <f>IF(Kielivalinta="","",IF(Kielivalinta="Suomi","Muun korkeak opisk tai henkilök",IF(Kielivalinta="Svenska","Stud. eller personal vid annan högsk.")))</f>
        <v/>
      </c>
      <c r="B37" s="21" t="str">
        <f>Asetukset!G311</f>
        <v/>
      </c>
      <c r="C37" s="21" t="str">
        <f>Asetukset!H311</f>
        <v/>
      </c>
    </row>
    <row r="38" spans="1:12" x14ac:dyDescent="0.2">
      <c r="A38" s="13" t="str">
        <f>IF(Kielivalinta="","",IF(Kielivalinta="Suomi","Muun oppilait opisk tai henkilök",IF(Kielivalinta="Svenska","Stud. eller personal vid annan läroinr.")))</f>
        <v/>
      </c>
      <c r="B38" s="21" t="str">
        <f>Asetukset!G312</f>
        <v/>
      </c>
      <c r="C38" s="21" t="str">
        <f>Asetukset!H312</f>
        <v/>
      </c>
    </row>
    <row r="39" spans="1:12" x14ac:dyDescent="0.2">
      <c r="A39" s="13" t="str">
        <f>IF(Kielivalinta="","",IF(Kielivalinta="Suomi","Kaukopalveluasiakas",IF(Kielivalinta="Svenska","Fjärrlånekund")))</f>
        <v/>
      </c>
      <c r="B39" s="21" t="str">
        <f>Asetukset!G313</f>
        <v/>
      </c>
      <c r="C39" s="21" t="str">
        <f>Asetukset!H313</f>
        <v/>
      </c>
    </row>
    <row r="40" spans="1:12" x14ac:dyDescent="0.2">
      <c r="A40" s="13" t="str">
        <f>IF(Kielivalinta="","",IF(Kielivalinta="Suomi","Muu asiakas",IF(Kielivalinta="Svenska","Övrig kund")))</f>
        <v/>
      </c>
      <c r="B40" s="21" t="str">
        <f>Asetukset!G314</f>
        <v/>
      </c>
      <c r="C40" s="21" t="str">
        <f>Asetukset!H314</f>
        <v/>
      </c>
    </row>
    <row r="41" spans="1:12" x14ac:dyDescent="0.2">
      <c r="A41" s="18" t="str">
        <f>IF(Kielivalinta="","",IF(Kielivalinta="Suomi","Yhteensä",IF(Kielivalinta="Svenska","Tillsammans")))</f>
        <v/>
      </c>
      <c r="B41" s="22">
        <f>Asetukset!G315</f>
        <v>0</v>
      </c>
      <c r="C41" s="22">
        <f>Asetukset!H315</f>
        <v>0</v>
      </c>
    </row>
    <row r="42" spans="1:12" x14ac:dyDescent="0.2"/>
    <row r="43" spans="1:12" x14ac:dyDescent="0.2"/>
    <row r="44" spans="1:12" x14ac:dyDescent="0.2"/>
    <row r="45" spans="1:12" x14ac:dyDescent="0.2"/>
    <row r="46" spans="1:12" x14ac:dyDescent="0.2"/>
    <row r="47" spans="1:12" x14ac:dyDescent="0.2">
      <c r="L47" s="13" t="str">
        <f>Aktiiviset_lainaajat&amp;", "&amp;Data!$C$3</f>
        <v xml:space="preserve">, </v>
      </c>
    </row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1:23" x14ac:dyDescent="0.2"/>
    <row r="66" spans="1:23" x14ac:dyDescent="0.2"/>
    <row r="67" spans="1:23" x14ac:dyDescent="0.2"/>
    <row r="68" spans="1:23" x14ac:dyDescent="0.2">
      <c r="A68" s="18" t="str">
        <f>IF(Kielivalinta="","",IF(Kielivalinta="Suomi","Lainaus ja uusinnat",IF(Kielivalinta="Svenska","Lån och förnyelser")))</f>
        <v/>
      </c>
      <c r="E68" s="13" t="str">
        <f>IF(Kielivalinta="","",IF(Kielivalinta="Suomi","Lainaus, "&amp;A24,IF(Kielivalinta="Svenska","Lån, "&amp;A24)))</f>
        <v/>
      </c>
    </row>
    <row r="69" spans="1:23" x14ac:dyDescent="0.2">
      <c r="B69" s="19" t="str">
        <f>RIGHT(Data!$B$3,5)</f>
        <v/>
      </c>
      <c r="C69" s="19" t="str">
        <f>RIGHT(Data!$C$3,4)</f>
        <v/>
      </c>
    </row>
    <row r="70" spans="1:23" x14ac:dyDescent="0.2">
      <c r="A70" s="13" t="str">
        <f>Asetukset!F348</f>
        <v/>
      </c>
      <c r="B70" s="21" t="str">
        <f>Asetukset!G348</f>
        <v/>
      </c>
      <c r="C70" s="21" t="str">
        <f>Asetukset!H348</f>
        <v/>
      </c>
    </row>
    <row r="71" spans="1:23" x14ac:dyDescent="0.2">
      <c r="A71" s="13" t="str">
        <f>Asetukset!F349</f>
        <v/>
      </c>
      <c r="B71" s="21" t="str">
        <f>Asetukset!G349</f>
        <v/>
      </c>
      <c r="C71" s="21" t="str">
        <f>Asetukset!H349</f>
        <v/>
      </c>
    </row>
    <row r="72" spans="1:23" x14ac:dyDescent="0.2">
      <c r="A72" s="13" t="str">
        <f>Asetukset!F350</f>
        <v/>
      </c>
      <c r="B72" s="21" t="str">
        <f>Asetukset!G350</f>
        <v/>
      </c>
      <c r="C72" s="21" t="str">
        <f>Asetukset!H350</f>
        <v/>
      </c>
    </row>
    <row r="73" spans="1:23" x14ac:dyDescent="0.2">
      <c r="A73" s="13" t="str">
        <f>Asetukset!F351</f>
        <v/>
      </c>
      <c r="B73" s="21" t="str">
        <f>Asetukset!G351</f>
        <v/>
      </c>
      <c r="C73" s="21" t="str">
        <f>Asetukset!H351</f>
        <v/>
      </c>
    </row>
    <row r="74" spans="1:23" x14ac:dyDescent="0.2">
      <c r="A74" s="18" t="str">
        <f>Asetukset!F352</f>
        <v/>
      </c>
      <c r="B74" s="22">
        <f>Asetukset!G352</f>
        <v>0</v>
      </c>
      <c r="C74" s="22">
        <f>Asetukset!H352</f>
        <v>0</v>
      </c>
    </row>
    <row r="75" spans="1:23" x14ac:dyDescent="0.2">
      <c r="A75" s="107" t="str">
        <f>IF(Kielivalinta="","",IF(Kielivalinta="Suomi","SFS-ISO 2789:2015;2.2.19: Uusinnat lasketaan erikseen",IF(Kielivalinta="Svenska","SFS-ISO 2789:2015;2.2.19: Förnyelser beräknas separat")))</f>
        <v/>
      </c>
      <c r="B75" s="108"/>
    </row>
    <row r="76" spans="1:23" ht="15" x14ac:dyDescent="0.25">
      <c r="A76" s="108"/>
      <c r="B76" s="108"/>
      <c r="S76" s="31" t="str">
        <f>IF(Kielivalinta="","",IF(Kielivalinta="Suomi","Kirjaston ulkoinen vaikuttavuus",IF(Kielivalinta="Svenska","Bbibliotekets yttre genomslag")))</f>
        <v/>
      </c>
      <c r="W76" s="32" t="str">
        <f>IF(Kielivalinta="","",IF(Kielivalinta="Suomi","Huom: Diagrammityypissä 'Sektori sekrorista' (esim. kohdassa Kirjaston ulkoinen vaikuttavuus) näkyvä kieli riippuu osittain Officen kieliasetuksista",IF(Kielivalinta="Svenska","OBS: Språket på diagrammtypen 'Cirkel av cirkel' (t.ex. i diagrammet Bibliotekets yttre genomslag) beror delvis på Offices språkinställningar")))</f>
        <v/>
      </c>
    </row>
    <row r="77" spans="1:23" x14ac:dyDescent="0.2"/>
    <row r="78" spans="1:23" x14ac:dyDescent="0.2"/>
    <row r="79" spans="1:23" x14ac:dyDescent="0.2"/>
    <row r="80" spans="1:23" x14ac:dyDescent="0.2"/>
    <row r="81" spans="5:5" x14ac:dyDescent="0.2"/>
    <row r="82" spans="5:5" x14ac:dyDescent="0.2"/>
    <row r="83" spans="5:5" x14ac:dyDescent="0.2"/>
    <row r="84" spans="5:5" x14ac:dyDescent="0.2"/>
    <row r="85" spans="5:5" x14ac:dyDescent="0.2">
      <c r="E85" s="13" t="str">
        <f>IF(Kielivalinta="","",IF(Kielivalinta="Suomi","Lainaus, "&amp;Data!C3,IF(Kielivalinta="Svenska","Lån, "&amp;Data!C3)))</f>
        <v/>
      </c>
    </row>
    <row r="86" spans="5:5" x14ac:dyDescent="0.2"/>
    <row r="87" spans="5:5" x14ac:dyDescent="0.2"/>
    <row r="88" spans="5:5" x14ac:dyDescent="0.2"/>
    <row r="89" spans="5:5" x14ac:dyDescent="0.2"/>
    <row r="90" spans="5:5" x14ac:dyDescent="0.2"/>
    <row r="91" spans="5:5" x14ac:dyDescent="0.2"/>
    <row r="92" spans="5:5" x14ac:dyDescent="0.2"/>
    <row r="93" spans="5:5" x14ac:dyDescent="0.2"/>
    <row r="94" spans="5:5" x14ac:dyDescent="0.2"/>
    <row r="95" spans="5:5" x14ac:dyDescent="0.2"/>
    <row r="96" spans="5:5" x14ac:dyDescent="0.2"/>
    <row r="97" spans="1:5" x14ac:dyDescent="0.2"/>
    <row r="98" spans="1:5" x14ac:dyDescent="0.2"/>
    <row r="99" spans="1:5" x14ac:dyDescent="0.2"/>
    <row r="100" spans="1:5" x14ac:dyDescent="0.2"/>
    <row r="101" spans="1:5" x14ac:dyDescent="0.2"/>
    <row r="102" spans="1:5" x14ac:dyDescent="0.2"/>
    <row r="103" spans="1:5" x14ac:dyDescent="0.2"/>
    <row r="104" spans="1:5" x14ac:dyDescent="0.2"/>
    <row r="105" spans="1:5" x14ac:dyDescent="0.2"/>
    <row r="106" spans="1:5" x14ac:dyDescent="0.2"/>
    <row r="107" spans="1:5" x14ac:dyDescent="0.2">
      <c r="A107" s="18" t="str">
        <f>IF(Kielivalinta="","",IF(Kielivalinta="Suomi","Kokonaislainaus (koti-, lukusali- ja kaukolainaus)",IF(Kielivalinta="Svenska","Totalutlåningen (hem-, läsesal- och fjärrlåningen)")))</f>
        <v/>
      </c>
    </row>
    <row r="108" spans="1:5" x14ac:dyDescent="0.2">
      <c r="B108" s="19" t="str">
        <f>RIGHT(Data!$B$3,5)</f>
        <v/>
      </c>
      <c r="C108" s="19" t="str">
        <f>RIGHT(Data!$C$3,4)</f>
        <v/>
      </c>
      <c r="D108" s="18" t="str">
        <f>IF(Kielivalinta="","",IF(Kielivalinta="Suomi","Kokonaislainaus",IF(Kielivalinta="Svenska","Totalutlåningen")))</f>
        <v/>
      </c>
      <c r="E108" s="13" t="str">
        <f>D108&amp;", "&amp;A24</f>
        <v xml:space="preserve">, </v>
      </c>
    </row>
    <row r="109" spans="1:5" x14ac:dyDescent="0.2">
      <c r="A109" s="13" t="str">
        <f>IF(Kielivalinta="","",IF(Kielivalinta="Suomi","Kokonaislainaus",IF(Kielivalinta="Svenska","Totalutlåningen")))</f>
        <v/>
      </c>
      <c r="B109" s="21" t="str">
        <f>Asetukset!G355</f>
        <v/>
      </c>
      <c r="C109" s="21" t="str">
        <f>Asetukset!H355</f>
        <v/>
      </c>
    </row>
    <row r="110" spans="1:5" x14ac:dyDescent="0.2">
      <c r="A110" s="13" t="str">
        <f>IF(Kielivalinta="","",IF(Kielivalinta="Suomi","Uusinnat",IF(Kielivalinta="Svenska","Förnyelser")))</f>
        <v/>
      </c>
      <c r="B110" s="21" t="str">
        <f>Asetukset!G356</f>
        <v/>
      </c>
      <c r="C110" s="21" t="str">
        <f>Asetukset!H356</f>
        <v/>
      </c>
    </row>
    <row r="111" spans="1:5" x14ac:dyDescent="0.2">
      <c r="A111" s="18" t="str">
        <f>IF(Kielivalinta="","",IF(Kielivalinta="Suomi","Yhteensä",IF(Kielivalinta="Svenska","Tillsammans")))</f>
        <v/>
      </c>
      <c r="B111" s="22">
        <f>Asetukset!G357</f>
        <v>0</v>
      </c>
      <c r="C111" s="22">
        <f>Asetukset!H357</f>
        <v>0</v>
      </c>
    </row>
    <row r="112" spans="1:5" x14ac:dyDescent="0.2">
      <c r="A112" s="107" t="str">
        <f>IF(Kielivalinta="","",IF(Kielivalinta="Suomi","SFS-ISO 2789:2015;2.2.19: Uusinnat lasketaan erikseen",IF(Kielivalinta="Svenska","SFS-ISO 2789:2015;2.2.19: Förnyelser beräknas separat")))</f>
        <v/>
      </c>
      <c r="B112" s="108"/>
    </row>
    <row r="113" spans="1:5" x14ac:dyDescent="0.2">
      <c r="A113" s="108"/>
      <c r="B113" s="108"/>
    </row>
    <row r="114" spans="1:5" x14ac:dyDescent="0.2"/>
    <row r="115" spans="1:5" x14ac:dyDescent="0.2"/>
    <row r="116" spans="1:5" x14ac:dyDescent="0.2"/>
    <row r="117" spans="1:5" x14ac:dyDescent="0.2"/>
    <row r="118" spans="1:5" x14ac:dyDescent="0.2"/>
    <row r="119" spans="1:5" x14ac:dyDescent="0.2"/>
    <row r="120" spans="1:5" x14ac:dyDescent="0.2"/>
    <row r="121" spans="1:5" x14ac:dyDescent="0.2"/>
    <row r="122" spans="1:5" x14ac:dyDescent="0.2"/>
    <row r="123" spans="1:5" x14ac:dyDescent="0.2"/>
    <row r="124" spans="1:5" x14ac:dyDescent="0.2"/>
    <row r="125" spans="1:5" x14ac:dyDescent="0.2"/>
    <row r="126" spans="1:5" x14ac:dyDescent="0.2"/>
    <row r="127" spans="1:5" x14ac:dyDescent="0.2"/>
    <row r="128" spans="1:5" x14ac:dyDescent="0.2">
      <c r="E128" s="13" t="str">
        <f>D108&amp;", "&amp;Data!C3</f>
        <v xml:space="preserve">, </v>
      </c>
    </row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spans="1:5" x14ac:dyDescent="0.2"/>
    <row r="146" spans="1:5" x14ac:dyDescent="0.2"/>
    <row r="147" spans="1:5" x14ac:dyDescent="0.2"/>
    <row r="148" spans="1:5" x14ac:dyDescent="0.2"/>
    <row r="149" spans="1:5" x14ac:dyDescent="0.2">
      <c r="A149" s="18" t="str">
        <f>IF(Kielivalinta="","",IF(Kielivalinta="Suomi","Kaukolainat",IF(Kielivalinta="Svenska","Fjärrlån")))</f>
        <v/>
      </c>
    </row>
    <row r="150" spans="1:5" x14ac:dyDescent="0.2">
      <c r="B150" s="19" t="str">
        <f>RIGHT(Data!$B$3,5)</f>
        <v/>
      </c>
      <c r="C150" s="19" t="str">
        <f>RIGHT(Data!$C$3,4)</f>
        <v/>
      </c>
      <c r="E150" s="13" t="str">
        <f>A149&amp;", "&amp;A24</f>
        <v xml:space="preserve">, </v>
      </c>
    </row>
    <row r="151" spans="1:5" x14ac:dyDescent="0.2">
      <c r="A151" s="13" t="str">
        <f>IF(Kielivalinta="","",IF(Kielivalinta="Suomi","Annetut",IF(Kielivalinta="Svenska","Beviljade")))</f>
        <v/>
      </c>
      <c r="B151" s="21" t="str">
        <f>IFERROR(Asetukset!D360+Asetukset!D371,"")</f>
        <v/>
      </c>
      <c r="C151" s="21" t="str">
        <f>IFERROR(Asetukset!E360+Asetukset!E371,"")</f>
        <v/>
      </c>
    </row>
    <row r="152" spans="1:5" x14ac:dyDescent="0.2">
      <c r="A152" s="13" t="str">
        <f>IF(Kielivalinta="","",IF(Kielivalinta="Suomi","Saadut",IF(Kielivalinta="Svenska","Erhållna")))</f>
        <v/>
      </c>
      <c r="B152" s="21" t="str">
        <f>IFERROR(Asetukset!D365+Asetukset!D376,"")</f>
        <v/>
      </c>
      <c r="C152" s="21" t="str">
        <f>IFERROR(Asetukset!E365+Asetukset!E376,"")</f>
        <v/>
      </c>
    </row>
    <row r="153" spans="1:5" x14ac:dyDescent="0.2"/>
    <row r="154" spans="1:5" x14ac:dyDescent="0.2"/>
    <row r="155" spans="1:5" x14ac:dyDescent="0.2"/>
    <row r="156" spans="1:5" x14ac:dyDescent="0.2"/>
    <row r="157" spans="1:5" x14ac:dyDescent="0.2"/>
    <row r="158" spans="1:5" x14ac:dyDescent="0.2"/>
    <row r="159" spans="1:5" x14ac:dyDescent="0.2"/>
    <row r="160" spans="1:5" x14ac:dyDescent="0.2"/>
    <row r="161" spans="1:5" x14ac:dyDescent="0.2"/>
    <row r="162" spans="1:5" x14ac:dyDescent="0.2"/>
    <row r="163" spans="1:5" x14ac:dyDescent="0.2"/>
    <row r="164" spans="1:5" x14ac:dyDescent="0.2"/>
    <row r="165" spans="1:5" x14ac:dyDescent="0.2"/>
    <row r="166" spans="1:5" x14ac:dyDescent="0.2"/>
    <row r="167" spans="1:5" x14ac:dyDescent="0.2"/>
    <row r="168" spans="1:5" x14ac:dyDescent="0.2"/>
    <row r="169" spans="1:5" x14ac:dyDescent="0.2"/>
    <row r="170" spans="1:5" x14ac:dyDescent="0.2"/>
    <row r="171" spans="1:5" x14ac:dyDescent="0.2">
      <c r="A171" s="18" t="str">
        <f>IF(Kielivalinta="","",IF(Kielivalinta="Suomi","Kirjastokäynnit",IF(Kielivalinta="Svenska","Biblioteksbesök")))</f>
        <v/>
      </c>
      <c r="E171" s="13" t="str">
        <f>A171&amp;", "&amp;A24</f>
        <v xml:space="preserve">, </v>
      </c>
    </row>
    <row r="172" spans="1:5" x14ac:dyDescent="0.2">
      <c r="B172" s="19" t="str">
        <f>RIGHT(Data!$B$3,5)</f>
        <v/>
      </c>
      <c r="C172" s="19" t="str">
        <f>RIGHT(Data!$C$3,4)</f>
        <v/>
      </c>
      <c r="E172" s="13" t="str">
        <f>A171&amp;", "&amp;Data!$C$3</f>
        <v xml:space="preserve">, </v>
      </c>
    </row>
    <row r="173" spans="1:5" x14ac:dyDescent="0.2">
      <c r="A173" s="13" t="str">
        <f>Asetukset!F451</f>
        <v/>
      </c>
      <c r="B173" s="21" t="str">
        <f>Asetukset!G451</f>
        <v/>
      </c>
      <c r="C173" s="21" t="str">
        <f>Asetukset!H451</f>
        <v/>
      </c>
    </row>
    <row r="174" spans="1:5" x14ac:dyDescent="0.2">
      <c r="A174" s="13" t="str">
        <f>Asetukset!F452</f>
        <v/>
      </c>
      <c r="B174" s="21" t="str">
        <f>Asetukset!G452</f>
        <v/>
      </c>
      <c r="C174" s="21" t="str">
        <f>Asetukset!H452</f>
        <v/>
      </c>
    </row>
    <row r="175" spans="1:5" x14ac:dyDescent="0.2">
      <c r="A175" s="24" t="str">
        <f>Asetukset!F453</f>
        <v/>
      </c>
      <c r="B175" s="22">
        <f>SUM(B173:B174)</f>
        <v>0</v>
      </c>
      <c r="C175" s="22">
        <f>SUM(C173:C174)</f>
        <v>0</v>
      </c>
    </row>
    <row r="176" spans="1:5" x14ac:dyDescent="0.2"/>
    <row r="177" spans="1:1" x14ac:dyDescent="0.2"/>
    <row r="178" spans="1:1" x14ac:dyDescent="0.2"/>
    <row r="179" spans="1:1" x14ac:dyDescent="0.2"/>
    <row r="180" spans="1:1" x14ac:dyDescent="0.2"/>
    <row r="181" spans="1:1" x14ac:dyDescent="0.2"/>
    <row r="182" spans="1:1" x14ac:dyDescent="0.2"/>
    <row r="183" spans="1:1" x14ac:dyDescent="0.2"/>
    <row r="184" spans="1:1" x14ac:dyDescent="0.2"/>
    <row r="185" spans="1:1" x14ac:dyDescent="0.2"/>
    <row r="186" spans="1:1" x14ac:dyDescent="0.2"/>
    <row r="187" spans="1:1" x14ac:dyDescent="0.2"/>
    <row r="188" spans="1:1" x14ac:dyDescent="0.2"/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5" x14ac:dyDescent="0.2">
      <c r="A225" s="18" t="str">
        <f>IF(Kielivalinta="","",IF(Kielivalinta="Suomi","Aukiolo",IF(Kielivalinta="Svenska","Öppethållning")))</f>
        <v/>
      </c>
    </row>
    <row r="226" spans="1:5" x14ac:dyDescent="0.2">
      <c r="A226" s="13" t="str">
        <f>Asetukset!G459</f>
        <v/>
      </c>
    </row>
    <row r="227" spans="1:5" x14ac:dyDescent="0.2">
      <c r="A227" s="18"/>
      <c r="B227" s="19" t="str">
        <f>RIGHT(Data!$B$3,5)</f>
        <v/>
      </c>
      <c r="C227" s="19" t="str">
        <f>RIGHT(Data!$C$3,4)</f>
        <v/>
      </c>
      <c r="E227" s="13" t="str">
        <f>A226&amp;", "&amp;$A$24</f>
        <v xml:space="preserve">, </v>
      </c>
    </row>
    <row r="228" spans="1:5" x14ac:dyDescent="0.2">
      <c r="A228" s="13" t="str">
        <f>Asetukset!F461</f>
        <v/>
      </c>
      <c r="B228" s="29" t="str">
        <f>Asetukset!G461</f>
        <v/>
      </c>
      <c r="C228" s="29" t="str">
        <f>Asetukset!H461</f>
        <v/>
      </c>
      <c r="E228" s="13" t="str">
        <f>A226&amp;", "&amp;Data!$C$3</f>
        <v xml:space="preserve">, </v>
      </c>
    </row>
    <row r="229" spans="1:5" x14ac:dyDescent="0.2">
      <c r="A229" s="13" t="str">
        <f>Asetukset!F462</f>
        <v/>
      </c>
      <c r="B229" s="29" t="str">
        <f>Asetukset!G462</f>
        <v/>
      </c>
      <c r="C229" s="29" t="str">
        <f>Asetukset!H462</f>
        <v/>
      </c>
    </row>
    <row r="230" spans="1:5" x14ac:dyDescent="0.2">
      <c r="A230" s="24" t="str">
        <f>Asetukset!F463</f>
        <v/>
      </c>
      <c r="B230" s="30">
        <f>Asetukset!G463</f>
        <v>0</v>
      </c>
      <c r="C230" s="30">
        <f>Asetukset!H463</f>
        <v>0</v>
      </c>
    </row>
    <row r="231" spans="1:5" x14ac:dyDescent="0.2"/>
    <row r="232" spans="1:5" x14ac:dyDescent="0.2"/>
    <row r="233" spans="1:5" x14ac:dyDescent="0.2"/>
    <row r="234" spans="1:5" x14ac:dyDescent="0.2"/>
    <row r="235" spans="1:5" x14ac:dyDescent="0.2"/>
    <row r="236" spans="1:5" x14ac:dyDescent="0.2"/>
    <row r="237" spans="1:5" x14ac:dyDescent="0.2"/>
    <row r="238" spans="1:5" x14ac:dyDescent="0.2"/>
    <row r="239" spans="1:5" x14ac:dyDescent="0.2"/>
    <row r="240" spans="1:5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spans="1:5" x14ac:dyDescent="0.2"/>
    <row r="258" spans="1:5" x14ac:dyDescent="0.2"/>
    <row r="259" spans="1:5" x14ac:dyDescent="0.2"/>
    <row r="260" spans="1:5" x14ac:dyDescent="0.2"/>
    <row r="261" spans="1:5" x14ac:dyDescent="0.2"/>
    <row r="262" spans="1:5" x14ac:dyDescent="0.2"/>
    <row r="263" spans="1:5" x14ac:dyDescent="0.2"/>
    <row r="264" spans="1:5" x14ac:dyDescent="0.2"/>
    <row r="265" spans="1:5" x14ac:dyDescent="0.2">
      <c r="A265" s="30" t="str">
        <f>Asetukset!G464</f>
        <v/>
      </c>
    </row>
    <row r="266" spans="1:5" x14ac:dyDescent="0.2">
      <c r="B266" s="19" t="str">
        <f>RIGHT(Data!$B$3,5)</f>
        <v/>
      </c>
      <c r="C266" s="19" t="str">
        <f>RIGHT(Data!$C$3,4)</f>
        <v/>
      </c>
      <c r="E266" s="13" t="str">
        <f>A265&amp;", "&amp;$A$24</f>
        <v xml:space="preserve">, </v>
      </c>
    </row>
    <row r="267" spans="1:5" x14ac:dyDescent="0.2">
      <c r="A267" s="29" t="str">
        <f>Asetukset!F466</f>
        <v/>
      </c>
      <c r="B267" s="29" t="str">
        <f>Asetukset!G466</f>
        <v/>
      </c>
      <c r="C267" s="29" t="str">
        <f>Asetukset!H466</f>
        <v/>
      </c>
      <c r="E267" s="13" t="str">
        <f>A265&amp;", "&amp;Data!$C$3</f>
        <v xml:space="preserve">, </v>
      </c>
    </row>
    <row r="268" spans="1:5" x14ac:dyDescent="0.2">
      <c r="A268" s="29" t="str">
        <f>Asetukset!F467</f>
        <v/>
      </c>
      <c r="B268" s="29" t="str">
        <f>Asetukset!G467</f>
        <v/>
      </c>
      <c r="C268" s="29" t="str">
        <f>Asetukset!H467</f>
        <v/>
      </c>
    </row>
    <row r="269" spans="1:5" x14ac:dyDescent="0.2">
      <c r="A269" s="29" t="str">
        <f>Asetukset!F468</f>
        <v/>
      </c>
      <c r="B269" s="29" t="str">
        <f>Asetukset!G468</f>
        <v/>
      </c>
      <c r="C269" s="29" t="str">
        <f>Asetukset!H468</f>
        <v/>
      </c>
    </row>
    <row r="270" spans="1:5" x14ac:dyDescent="0.2">
      <c r="A270" s="29" t="str">
        <f>Asetukset!F469</f>
        <v/>
      </c>
      <c r="B270" s="29" t="str">
        <f>Asetukset!G469</f>
        <v/>
      </c>
      <c r="C270" s="29" t="str">
        <f>Asetukset!H469</f>
        <v/>
      </c>
    </row>
    <row r="271" spans="1:5" x14ac:dyDescent="0.2">
      <c r="A271" s="34" t="str">
        <f>Asetukset!F470</f>
        <v/>
      </c>
      <c r="B271" s="30">
        <f>Asetukset!G470</f>
        <v>0</v>
      </c>
      <c r="C271" s="30">
        <f>Asetukset!H470</f>
        <v>0</v>
      </c>
    </row>
    <row r="272" spans="1:5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spans="1:5" x14ac:dyDescent="0.2"/>
    <row r="306" spans="1:5" x14ac:dyDescent="0.2"/>
    <row r="307" spans="1:5" x14ac:dyDescent="0.2"/>
    <row r="308" spans="1:5" x14ac:dyDescent="0.2"/>
    <row r="309" spans="1:5" x14ac:dyDescent="0.2"/>
    <row r="310" spans="1:5" x14ac:dyDescent="0.2"/>
    <row r="311" spans="1:5" x14ac:dyDescent="0.2"/>
    <row r="312" spans="1:5" x14ac:dyDescent="0.2">
      <c r="A312" s="13" t="str">
        <f>Asetukset!G471</f>
        <v/>
      </c>
    </row>
    <row r="313" spans="1:5" x14ac:dyDescent="0.2">
      <c r="B313" s="19" t="str">
        <f>RIGHT(Data!$B$3,5)</f>
        <v/>
      </c>
      <c r="C313" s="19" t="str">
        <f>RIGHT(Data!$C$3,4)</f>
        <v/>
      </c>
      <c r="E313" s="13" t="str">
        <f>A312&amp;", "&amp;$A$24</f>
        <v xml:space="preserve">, </v>
      </c>
    </row>
    <row r="314" spans="1:5" x14ac:dyDescent="0.2">
      <c r="A314" s="13" t="str">
        <f>Asetukset!F473</f>
        <v/>
      </c>
      <c r="B314" s="21" t="str">
        <f>Asetukset!G473</f>
        <v/>
      </c>
      <c r="C314" s="21" t="str">
        <f>Asetukset!H473</f>
        <v/>
      </c>
      <c r="E314" s="13" t="str">
        <f>A312&amp;", "&amp;Data!$C$3</f>
        <v xml:space="preserve">, </v>
      </c>
    </row>
    <row r="315" spans="1:5" x14ac:dyDescent="0.2">
      <c r="A315" s="13" t="str">
        <f>Asetukset!F474</f>
        <v/>
      </c>
      <c r="B315" s="21" t="str">
        <f>Asetukset!G474</f>
        <v/>
      </c>
      <c r="C315" s="21" t="str">
        <f>Asetukset!H474</f>
        <v/>
      </c>
    </row>
    <row r="316" spans="1:5" x14ac:dyDescent="0.2">
      <c r="A316" s="18" t="str">
        <f>Asetukset!F475</f>
        <v/>
      </c>
      <c r="B316" s="22">
        <f>Asetukset!G475</f>
        <v>0</v>
      </c>
      <c r="C316" s="22">
        <f>Asetukset!H475</f>
        <v>0</v>
      </c>
    </row>
    <row r="317" spans="1:5" x14ac:dyDescent="0.2"/>
    <row r="318" spans="1:5" x14ac:dyDescent="0.2"/>
    <row r="319" spans="1:5" x14ac:dyDescent="0.2"/>
    <row r="320" spans="1:5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spans="1:1" x14ac:dyDescent="0.2"/>
    <row r="338" spans="1:1" x14ac:dyDescent="0.2"/>
    <row r="339" spans="1:1" x14ac:dyDescent="0.2"/>
    <row r="340" spans="1:1" x14ac:dyDescent="0.2"/>
    <row r="341" spans="1:1" x14ac:dyDescent="0.2"/>
    <row r="342" spans="1:1" x14ac:dyDescent="0.2"/>
    <row r="343" spans="1:1" x14ac:dyDescent="0.2"/>
    <row r="344" spans="1:1" x14ac:dyDescent="0.2"/>
    <row r="345" spans="1:1" x14ac:dyDescent="0.2"/>
    <row r="346" spans="1:1" x14ac:dyDescent="0.2"/>
    <row r="347" spans="1:1" x14ac:dyDescent="0.2"/>
    <row r="348" spans="1:1" x14ac:dyDescent="0.2"/>
    <row r="349" spans="1:1" x14ac:dyDescent="0.2"/>
    <row r="350" spans="1:1" x14ac:dyDescent="0.2"/>
    <row r="351" spans="1:1" x14ac:dyDescent="0.2">
      <c r="A351" s="18" t="str">
        <f>Asetukset!G397</f>
        <v/>
      </c>
    </row>
    <row r="352" spans="1:1" x14ac:dyDescent="0.2"/>
    <row r="353" spans="1:12" x14ac:dyDescent="0.2">
      <c r="B353" s="19" t="str">
        <f>RIGHT(Data!$B$3,5)</f>
        <v/>
      </c>
      <c r="C353" s="19" t="str">
        <f>RIGHT(Data!$C$3,4)</f>
        <v/>
      </c>
      <c r="E353" s="19" t="str">
        <f>RIGHT(Data!$B$3,5)</f>
        <v/>
      </c>
      <c r="F353" s="19" t="str">
        <f>RIGHT(Data!$C$3,4)</f>
        <v/>
      </c>
      <c r="H353" s="19" t="str">
        <f>RIGHT(Data!$B$3,5)</f>
        <v/>
      </c>
      <c r="I353" s="19" t="str">
        <f>RIGHT(Data!$C$3,4)</f>
        <v/>
      </c>
      <c r="K353" s="19" t="str">
        <f>RIGHT(Data!$B$3,5)</f>
        <v/>
      </c>
      <c r="L353" s="19" t="str">
        <f>RIGHT(Data!$C$3,4)</f>
        <v/>
      </c>
    </row>
    <row r="354" spans="1:12" x14ac:dyDescent="0.2">
      <c r="A354" s="13" t="str">
        <f>Asetukset!F400</f>
        <v/>
      </c>
      <c r="B354" s="21" t="str">
        <f>Asetukset!G400</f>
        <v/>
      </c>
      <c r="C354" s="21" t="str">
        <f>Asetukset!H400</f>
        <v/>
      </c>
      <c r="D354" s="13" t="str">
        <f>Asetukset!I400</f>
        <v>Finna</v>
      </c>
      <c r="E354" s="21" t="str">
        <f>Asetukset!J400</f>
        <v/>
      </c>
      <c r="F354" s="21" t="str">
        <f>Asetukset!K400</f>
        <v/>
      </c>
      <c r="G354" s="13" t="str">
        <f>A354</f>
        <v/>
      </c>
      <c r="H354" s="21" t="str">
        <f>Asetukset!N400</f>
        <v/>
      </c>
      <c r="I354" s="21" t="str">
        <f>Asetukset!O400</f>
        <v/>
      </c>
      <c r="J354" s="13" t="str">
        <f>Asetukset!Q400</f>
        <v/>
      </c>
      <c r="K354" s="21" t="str">
        <f>Asetukset!R400</f>
        <v/>
      </c>
      <c r="L354" s="21" t="str">
        <f>Asetukset!S400</f>
        <v/>
      </c>
    </row>
    <row r="355" spans="1:12" x14ac:dyDescent="0.2">
      <c r="A355" s="13" t="str">
        <f>Asetukset!F401</f>
        <v>Finna</v>
      </c>
      <c r="B355" s="21" t="str">
        <f>Asetukset!G401</f>
        <v/>
      </c>
      <c r="C355" s="21" t="str">
        <f>Asetukset!H401</f>
        <v/>
      </c>
      <c r="D355" s="13" t="str">
        <f>Asetukset!I401</f>
        <v/>
      </c>
      <c r="E355" s="21" t="str">
        <f>Asetukset!J401</f>
        <v/>
      </c>
      <c r="F355" s="21" t="str">
        <f>Asetukset!K401</f>
        <v/>
      </c>
      <c r="G355" s="13" t="str">
        <f>A356</f>
        <v/>
      </c>
      <c r="H355" s="21" t="str">
        <f>Asetukset!N401</f>
        <v/>
      </c>
      <c r="I355" s="21" t="str">
        <f>Asetukset!O401</f>
        <v/>
      </c>
      <c r="J355" s="13" t="str">
        <f>Asetukset!Q401</f>
        <v/>
      </c>
      <c r="K355" s="21" t="str">
        <f>Asetukset!R401</f>
        <v/>
      </c>
      <c r="L355" s="21" t="str">
        <f>Asetukset!S401</f>
        <v/>
      </c>
    </row>
    <row r="356" spans="1:12" x14ac:dyDescent="0.2">
      <c r="A356" s="13" t="str">
        <f>Asetukset!F402</f>
        <v/>
      </c>
      <c r="B356" s="21" t="str">
        <f>Asetukset!G402</f>
        <v/>
      </c>
      <c r="C356" s="21" t="str">
        <f>Asetukset!H402</f>
        <v/>
      </c>
      <c r="D356" s="13" t="str">
        <f>Asetukset!I402</f>
        <v/>
      </c>
      <c r="E356" s="21" t="str">
        <f>Asetukset!J402</f>
        <v/>
      </c>
      <c r="F356" s="21" t="str">
        <f>Asetukset!K402</f>
        <v/>
      </c>
      <c r="G356" s="13" t="str">
        <f>A357</f>
        <v/>
      </c>
      <c r="H356" s="21" t="str">
        <f>Asetukset!N402</f>
        <v/>
      </c>
      <c r="I356" s="21" t="str">
        <f>Asetukset!O402</f>
        <v/>
      </c>
      <c r="J356" s="13" t="str">
        <f>Asetukset!Q402</f>
        <v/>
      </c>
      <c r="K356" s="21" t="str">
        <f>Asetukset!R402</f>
        <v/>
      </c>
      <c r="L356" s="21" t="str">
        <f>Asetukset!S402</f>
        <v/>
      </c>
    </row>
    <row r="357" spans="1:12" x14ac:dyDescent="0.2">
      <c r="A357" s="13" t="str">
        <f>Asetukset!F403</f>
        <v/>
      </c>
      <c r="B357" s="21" t="str">
        <f>Asetukset!G403</f>
        <v/>
      </c>
      <c r="C357" s="21" t="str">
        <f>Asetukset!H403</f>
        <v/>
      </c>
      <c r="D357" s="13" t="str">
        <f>Asetukset!I403</f>
        <v/>
      </c>
      <c r="E357" s="21" t="str">
        <f>Asetukset!J403</f>
        <v/>
      </c>
      <c r="F357" s="21" t="str">
        <f>Asetukset!K403</f>
        <v/>
      </c>
      <c r="G357" s="13" t="str">
        <f>A358</f>
        <v/>
      </c>
      <c r="H357" s="21" t="str">
        <f>Asetukset!N403</f>
        <v/>
      </c>
      <c r="I357" s="21" t="str">
        <f>Asetukset!O403</f>
        <v/>
      </c>
      <c r="J357" s="13" t="str">
        <f>Asetukset!Q403</f>
        <v/>
      </c>
      <c r="K357" s="21" t="str">
        <f>Asetukset!R403</f>
        <v/>
      </c>
      <c r="L357" s="21" t="str">
        <f>Asetukset!S403</f>
        <v/>
      </c>
    </row>
    <row r="358" spans="1:12" x14ac:dyDescent="0.2">
      <c r="A358" s="13" t="str">
        <f>Asetukset!F404</f>
        <v/>
      </c>
      <c r="B358" s="21" t="str">
        <f>Asetukset!G404</f>
        <v/>
      </c>
      <c r="C358" s="21" t="str">
        <f>Asetukset!H404</f>
        <v/>
      </c>
      <c r="D358" s="13" t="str">
        <f>Asetukset!I404</f>
        <v/>
      </c>
      <c r="E358" s="21" t="str">
        <f>Asetukset!J404</f>
        <v/>
      </c>
      <c r="F358" s="21" t="str">
        <f>Asetukset!K404</f>
        <v/>
      </c>
      <c r="G358" s="13" t="str">
        <f>A359</f>
        <v/>
      </c>
      <c r="H358" s="21" t="str">
        <f>Asetukset!N404</f>
        <v/>
      </c>
      <c r="I358" s="21" t="str">
        <f>Asetukset!O404</f>
        <v/>
      </c>
    </row>
    <row r="359" spans="1:12" x14ac:dyDescent="0.2">
      <c r="A359" s="13" t="str">
        <f>Asetukset!F405</f>
        <v/>
      </c>
      <c r="B359" s="21" t="str">
        <f>Asetukset!G405</f>
        <v/>
      </c>
      <c r="C359" s="21" t="str">
        <f>Asetukset!H405</f>
        <v/>
      </c>
    </row>
    <row r="360" spans="1:12" x14ac:dyDescent="0.2">
      <c r="B360" s="13" t="str">
        <f>A351&amp;", "&amp;A24</f>
        <v xml:space="preserve">, </v>
      </c>
      <c r="C360" s="13" t="str">
        <f>IF(Kielivalinta="","",IF(Kielivalinta="Suomi","Tiedonhaut verkossa",IF(Kielivalinta="Svenska","Informationssökningar i nätet")))</f>
        <v/>
      </c>
    </row>
    <row r="361" spans="1:12" x14ac:dyDescent="0.2">
      <c r="C361" s="13" t="str">
        <f>IF(Kielivalinta="","",IF(Kielivalinta="Suomi","Informaatiopalvelun toimeksiannot",IF(Kielivalinta="Svenska","Informationstjänst, uppdrag")))</f>
        <v/>
      </c>
    </row>
    <row r="362" spans="1:12" x14ac:dyDescent="0.2"/>
    <row r="363" spans="1:12" x14ac:dyDescent="0.2"/>
    <row r="364" spans="1:12" x14ac:dyDescent="0.2"/>
    <row r="365" spans="1:12" x14ac:dyDescent="0.2"/>
    <row r="366" spans="1:12" x14ac:dyDescent="0.2"/>
    <row r="367" spans="1:12" x14ac:dyDescent="0.2"/>
    <row r="368" spans="1:12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spans="1:15" x14ac:dyDescent="0.2"/>
    <row r="402" spans="1:15" x14ac:dyDescent="0.2"/>
    <row r="403" spans="1:15" x14ac:dyDescent="0.2"/>
    <row r="404" spans="1:15" x14ac:dyDescent="0.2"/>
    <row r="405" spans="1:15" x14ac:dyDescent="0.2"/>
    <row r="406" spans="1:15" x14ac:dyDescent="0.2"/>
    <row r="407" spans="1:15" x14ac:dyDescent="0.2"/>
    <row r="408" spans="1:15" x14ac:dyDescent="0.2"/>
    <row r="409" spans="1:15" x14ac:dyDescent="0.2"/>
    <row r="410" spans="1:15" x14ac:dyDescent="0.2"/>
    <row r="411" spans="1:15" x14ac:dyDescent="0.2"/>
    <row r="412" spans="1:15" x14ac:dyDescent="0.2"/>
    <row r="413" spans="1:15" x14ac:dyDescent="0.2"/>
    <row r="414" spans="1:15" x14ac:dyDescent="0.2"/>
    <row r="415" spans="1:15" x14ac:dyDescent="0.2">
      <c r="A415" s="18" t="str">
        <f>Asetukset!G407</f>
        <v/>
      </c>
    </row>
    <row r="416" spans="1:15" x14ac:dyDescent="0.2">
      <c r="B416" s="19" t="str">
        <f>RIGHT(Data!$B$3,5)</f>
        <v/>
      </c>
      <c r="C416" s="19" t="str">
        <f>RIGHT(Data!$C$3,4)</f>
        <v/>
      </c>
      <c r="E416" s="19" t="str">
        <f>RIGHT(Data!$B$3,5)</f>
        <v/>
      </c>
      <c r="F416" s="19" t="str">
        <f>RIGHT(Data!$C$3,4)</f>
        <v/>
      </c>
      <c r="H416" s="19" t="str">
        <f>RIGHT(Data!$B$3,5)</f>
        <v/>
      </c>
      <c r="I416" s="19" t="str">
        <f>RIGHT(Data!$C$3,4)</f>
        <v/>
      </c>
      <c r="K416" s="19" t="str">
        <f>RIGHT(Data!$B$3,5)</f>
        <v/>
      </c>
      <c r="L416" s="19" t="str">
        <f>RIGHT(Data!$C$3,4)</f>
        <v/>
      </c>
      <c r="N416" s="19" t="str">
        <f>RIGHT(Data!$B$3,5)</f>
        <v/>
      </c>
      <c r="O416" s="19" t="str">
        <f>RIGHT(Data!$C$3,4)</f>
        <v/>
      </c>
    </row>
    <row r="417" spans="1:15" x14ac:dyDescent="0.2">
      <c r="A417" s="13" t="str">
        <f>Asetukset!F410</f>
        <v/>
      </c>
      <c r="B417" s="21" t="str">
        <f>Asetukset!G410</f>
        <v/>
      </c>
      <c r="C417" s="21" t="str">
        <f>Asetukset!H410</f>
        <v/>
      </c>
      <c r="D417" s="13" t="str">
        <f>Asetukset!I410</f>
        <v/>
      </c>
      <c r="E417" s="21" t="str">
        <f>Asetukset!J410</f>
        <v/>
      </c>
      <c r="F417" s="21" t="str">
        <f>Asetukset!K410</f>
        <v/>
      </c>
      <c r="G417" s="13" t="str">
        <f>Asetukset!F410</f>
        <v/>
      </c>
      <c r="H417" s="21" t="str">
        <f>Asetukset!N410</f>
        <v/>
      </c>
      <c r="I417" s="21" t="str">
        <f>Asetukset!O410</f>
        <v/>
      </c>
      <c r="J417" s="13" t="str">
        <f>Asetukset!Q410</f>
        <v/>
      </c>
      <c r="K417" s="21" t="str">
        <f>Asetukset!R410</f>
        <v/>
      </c>
      <c r="L417" s="21" t="str">
        <f>Asetukset!S410</f>
        <v/>
      </c>
      <c r="M417" s="13" t="str">
        <f>Asetukset!F419</f>
        <v/>
      </c>
      <c r="N417" s="21" t="str">
        <f>Asetukset!G419</f>
        <v/>
      </c>
      <c r="O417" s="21" t="str">
        <f>Asetukset!H419</f>
        <v/>
      </c>
    </row>
    <row r="418" spans="1:15" x14ac:dyDescent="0.2">
      <c r="A418" s="13" t="str">
        <f>Asetukset!F411</f>
        <v/>
      </c>
      <c r="B418" s="21" t="str">
        <f>Asetukset!G411</f>
        <v/>
      </c>
      <c r="C418" s="21" t="str">
        <f>Asetukset!H411</f>
        <v/>
      </c>
      <c r="D418" s="13" t="str">
        <f>Asetukset!I411</f>
        <v/>
      </c>
      <c r="E418" s="21" t="str">
        <f>Asetukset!J411</f>
        <v/>
      </c>
      <c r="F418" s="21" t="str">
        <f>Asetukset!K411</f>
        <v/>
      </c>
      <c r="G418" s="13" t="str">
        <f>Asetukset!F412</f>
        <v/>
      </c>
      <c r="H418" s="21" t="str">
        <f>Asetukset!N411</f>
        <v/>
      </c>
      <c r="I418" s="21" t="str">
        <f>Asetukset!O411</f>
        <v/>
      </c>
      <c r="J418" s="13" t="str">
        <f>Asetukset!Q411</f>
        <v/>
      </c>
      <c r="K418" s="21" t="str">
        <f>Asetukset!R411</f>
        <v/>
      </c>
      <c r="L418" s="21" t="str">
        <f>Asetukset!S411</f>
        <v/>
      </c>
      <c r="M418" s="13" t="str">
        <f>Asetukset!F420</f>
        <v/>
      </c>
      <c r="N418" s="21" t="str">
        <f>Asetukset!G420</f>
        <v/>
      </c>
      <c r="O418" s="21" t="str">
        <f>Asetukset!H420</f>
        <v/>
      </c>
    </row>
    <row r="419" spans="1:15" x14ac:dyDescent="0.2">
      <c r="A419" s="13" t="str">
        <f>Asetukset!F412</f>
        <v/>
      </c>
      <c r="B419" s="21" t="str">
        <f>Asetukset!G412</f>
        <v/>
      </c>
      <c r="C419" s="21" t="str">
        <f>Asetukset!H412</f>
        <v/>
      </c>
      <c r="D419" s="13" t="str">
        <f>Asetukset!I412</f>
        <v/>
      </c>
      <c r="E419" s="21" t="str">
        <f>Asetukset!J412</f>
        <v/>
      </c>
      <c r="F419" s="21" t="str">
        <f>Asetukset!K412</f>
        <v/>
      </c>
      <c r="G419" s="13" t="str">
        <f>Asetukset!F413</f>
        <v/>
      </c>
      <c r="H419" s="21" t="str">
        <f>Asetukset!N412</f>
        <v/>
      </c>
      <c r="I419" s="21" t="str">
        <f>Asetukset!O412</f>
        <v/>
      </c>
      <c r="J419" s="13" t="str">
        <f>Asetukset!Q412</f>
        <v/>
      </c>
      <c r="K419" s="21" t="str">
        <f>Asetukset!R412</f>
        <v/>
      </c>
      <c r="L419" s="21" t="str">
        <f>Asetukset!S412</f>
        <v/>
      </c>
      <c r="M419" s="13" t="str">
        <f>Asetukset!F421</f>
        <v/>
      </c>
      <c r="N419" s="21" t="str">
        <f>Asetukset!G421</f>
        <v/>
      </c>
      <c r="O419" s="21" t="str">
        <f>Asetukset!H421</f>
        <v/>
      </c>
    </row>
    <row r="420" spans="1:15" x14ac:dyDescent="0.2">
      <c r="A420" s="13" t="str">
        <f>Asetukset!F413</f>
        <v/>
      </c>
      <c r="B420" s="21" t="str">
        <f>Asetukset!G413</f>
        <v/>
      </c>
      <c r="C420" s="21" t="str">
        <f>Asetukset!H413</f>
        <v/>
      </c>
      <c r="D420" s="13" t="str">
        <f>Asetukset!I413</f>
        <v/>
      </c>
      <c r="E420" s="21" t="str">
        <f>Asetukset!J413</f>
        <v/>
      </c>
      <c r="F420" s="21" t="str">
        <f>Asetukset!K413</f>
        <v/>
      </c>
      <c r="G420" s="13" t="str">
        <f>Asetukset!F414</f>
        <v/>
      </c>
      <c r="H420" s="21" t="str">
        <f>Asetukset!N413</f>
        <v/>
      </c>
      <c r="I420" s="21" t="str">
        <f>Asetukset!O413</f>
        <v/>
      </c>
      <c r="J420" s="13" t="str">
        <f>Asetukset!Q413</f>
        <v/>
      </c>
      <c r="K420" s="21" t="str">
        <f>Asetukset!R413</f>
        <v/>
      </c>
      <c r="L420" s="21" t="str">
        <f>Asetukset!S413</f>
        <v/>
      </c>
    </row>
    <row r="421" spans="1:15" x14ac:dyDescent="0.2">
      <c r="A421" s="13" t="str">
        <f>Asetukset!F414</f>
        <v/>
      </c>
      <c r="B421" s="21" t="str">
        <f>Asetukset!G414</f>
        <v/>
      </c>
      <c r="C421" s="21" t="str">
        <f>Asetukset!H414</f>
        <v/>
      </c>
      <c r="D421" s="13" t="str">
        <f>Asetukset!I414</f>
        <v/>
      </c>
      <c r="E421" s="21" t="str">
        <f>Asetukset!J414</f>
        <v/>
      </c>
      <c r="F421" s="21" t="str">
        <f>Asetukset!K414</f>
        <v/>
      </c>
      <c r="G421" s="13" t="str">
        <f>Asetukset!F415</f>
        <v/>
      </c>
      <c r="H421" s="21" t="str">
        <f>Asetukset!N414</f>
        <v/>
      </c>
      <c r="I421" s="21" t="str">
        <f>Asetukset!O414</f>
        <v/>
      </c>
      <c r="J421" s="13" t="str">
        <f>Asetukset!Q414</f>
        <v/>
      </c>
      <c r="K421" s="21" t="str">
        <f>Asetukset!R414</f>
        <v/>
      </c>
      <c r="L421" s="21" t="str">
        <f>Asetukset!S414</f>
        <v/>
      </c>
    </row>
    <row r="422" spans="1:15" x14ac:dyDescent="0.2">
      <c r="A422" s="13" t="str">
        <f>Asetukset!F415</f>
        <v/>
      </c>
      <c r="B422" s="21" t="str">
        <f>Asetukset!G415</f>
        <v/>
      </c>
      <c r="C422" s="21" t="str">
        <f>Asetukset!H415</f>
        <v/>
      </c>
      <c r="D422" s="13" t="str">
        <f>Asetukset!I415</f>
        <v/>
      </c>
      <c r="E422" s="21" t="str">
        <f>Asetukset!J415</f>
        <v/>
      </c>
      <c r="F422" s="21" t="str">
        <f>Asetukset!K415</f>
        <v/>
      </c>
      <c r="G422" s="13" t="str">
        <f>Asetukset!F416</f>
        <v/>
      </c>
      <c r="H422" s="21" t="str">
        <f>Asetukset!N415</f>
        <v/>
      </c>
      <c r="I422" s="21" t="str">
        <f>Asetukset!O415</f>
        <v/>
      </c>
    </row>
    <row r="423" spans="1:15" x14ac:dyDescent="0.2">
      <c r="A423" s="13" t="str">
        <f>Asetukset!F416</f>
        <v/>
      </c>
      <c r="B423" s="21" t="str">
        <f>Asetukset!G416</f>
        <v/>
      </c>
      <c r="C423" s="21" t="str">
        <f>Asetukset!H416</f>
        <v/>
      </c>
    </row>
    <row r="424" spans="1:15" x14ac:dyDescent="0.2">
      <c r="B424" s="21" t="str">
        <f>A415&amp;", "&amp;A24</f>
        <v xml:space="preserve">, </v>
      </c>
      <c r="C424" s="21"/>
    </row>
    <row r="425" spans="1:15" x14ac:dyDescent="0.2">
      <c r="B425" s="21"/>
      <c r="C425" s="21"/>
    </row>
    <row r="426" spans="1:15" x14ac:dyDescent="0.2">
      <c r="B426" s="21"/>
      <c r="C426" s="21"/>
    </row>
    <row r="427" spans="1:15" x14ac:dyDescent="0.2">
      <c r="B427" s="21"/>
      <c r="C427" s="21"/>
    </row>
    <row r="428" spans="1:15" x14ac:dyDescent="0.2">
      <c r="B428" s="21"/>
      <c r="C428" s="21"/>
    </row>
    <row r="429" spans="1:15" x14ac:dyDescent="0.2">
      <c r="B429" s="21"/>
      <c r="C429" s="21"/>
    </row>
    <row r="430" spans="1:15" x14ac:dyDescent="0.2">
      <c r="B430" s="21"/>
      <c r="C430" s="21"/>
    </row>
    <row r="431" spans="1:15" x14ac:dyDescent="0.2">
      <c r="B431" s="21"/>
      <c r="C431" s="21"/>
    </row>
    <row r="432" spans="1:15" x14ac:dyDescent="0.2">
      <c r="B432" s="21"/>
      <c r="C432" s="21"/>
    </row>
    <row r="433" spans="2:3" x14ac:dyDescent="0.2">
      <c r="B433" s="21"/>
      <c r="C433" s="21"/>
    </row>
    <row r="434" spans="2:3" x14ac:dyDescent="0.2"/>
    <row r="435" spans="2:3" x14ac:dyDescent="0.2"/>
    <row r="436" spans="2:3" x14ac:dyDescent="0.2"/>
    <row r="437" spans="2:3" x14ac:dyDescent="0.2"/>
    <row r="438" spans="2:3" x14ac:dyDescent="0.2"/>
    <row r="439" spans="2:3" x14ac:dyDescent="0.2"/>
    <row r="440" spans="2:3" x14ac:dyDescent="0.2"/>
    <row r="441" spans="2:3" x14ac:dyDescent="0.2"/>
    <row r="442" spans="2:3" x14ac:dyDescent="0.2"/>
    <row r="443" spans="2:3" x14ac:dyDescent="0.2"/>
    <row r="444" spans="2:3" x14ac:dyDescent="0.2"/>
    <row r="445" spans="2:3" x14ac:dyDescent="0.2"/>
    <row r="446" spans="2:3" x14ac:dyDescent="0.2"/>
    <row r="447" spans="2:3" x14ac:dyDescent="0.2"/>
    <row r="448" spans="2:3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spans="1:4" x14ac:dyDescent="0.2"/>
    <row r="466" spans="1:4" x14ac:dyDescent="0.2"/>
    <row r="467" spans="1:4" x14ac:dyDescent="0.2"/>
    <row r="468" spans="1:4" x14ac:dyDescent="0.2"/>
    <row r="469" spans="1:4" x14ac:dyDescent="0.2"/>
    <row r="470" spans="1:4" x14ac:dyDescent="0.2">
      <c r="A470" s="18" t="str">
        <f>Asetukset!C454</f>
        <v/>
      </c>
    </row>
    <row r="471" spans="1:4" x14ac:dyDescent="0.2">
      <c r="B471" s="19" t="str">
        <f>RIGHT(Data!$B$3,5)</f>
        <v/>
      </c>
      <c r="C471" s="19" t="str">
        <f>RIGHT(Data!$C$3,4)</f>
        <v/>
      </c>
      <c r="D471" s="13" t="str">
        <f>A470&amp;", "&amp;A24</f>
        <v xml:space="preserve">, </v>
      </c>
    </row>
    <row r="472" spans="1:4" x14ac:dyDescent="0.2">
      <c r="A472" s="13" t="str">
        <f>Asetukset!C454</f>
        <v/>
      </c>
      <c r="B472" s="25" t="str">
        <f>Asetukset!D454</f>
        <v/>
      </c>
      <c r="C472" s="25" t="str">
        <f>Asetukset!E454</f>
        <v/>
      </c>
    </row>
    <row r="473" spans="1:4" x14ac:dyDescent="0.2">
      <c r="A473" s="13" t="str">
        <f>Asetukset!C455</f>
        <v/>
      </c>
      <c r="B473" s="25" t="str">
        <f>Asetukset!D455</f>
        <v/>
      </c>
      <c r="C473" s="25" t="str">
        <f>Asetukset!E455</f>
        <v/>
      </c>
    </row>
    <row r="474" spans="1:4" x14ac:dyDescent="0.2">
      <c r="A474" s="13" t="str">
        <f>Asetukset!C456</f>
        <v/>
      </c>
      <c r="B474" s="26" t="str">
        <f>Asetukset!D456</f>
        <v/>
      </c>
      <c r="C474" s="26" t="str">
        <f>Asetukset!E456</f>
        <v/>
      </c>
    </row>
    <row r="475" spans="1:4" x14ac:dyDescent="0.2">
      <c r="A475" s="13" t="str">
        <f>Asetukset!C457</f>
        <v/>
      </c>
      <c r="B475" s="26" t="str">
        <f>Asetukset!D457</f>
        <v/>
      </c>
      <c r="C475" s="26" t="str">
        <f>Asetukset!E457</f>
        <v/>
      </c>
    </row>
    <row r="476" spans="1:4" x14ac:dyDescent="0.2">
      <c r="A476" s="13" t="str">
        <f>Asetukset!C458</f>
        <v/>
      </c>
      <c r="B476" s="25" t="str">
        <f>Asetukset!D458</f>
        <v/>
      </c>
      <c r="C476" s="25" t="str">
        <f>Asetukset!E458</f>
        <v/>
      </c>
    </row>
    <row r="477" spans="1:4" x14ac:dyDescent="0.2"/>
    <row r="478" spans="1:4" x14ac:dyDescent="0.2"/>
    <row r="479" spans="1:4" x14ac:dyDescent="0.2"/>
    <row r="480" spans="1:4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spans="1:49" x14ac:dyDescent="0.2"/>
    <row r="498" spans="1:49" ht="15.75" x14ac:dyDescent="0.25">
      <c r="A498" s="17" t="str">
        <f>IF(Kielivalinta="","",IF(Kielivalinta="Suomi","Kokoelmat",IF(Kielivalinta="Svenska","Samlingar")))</f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</row>
    <row r="499" spans="1:49" x14ac:dyDescent="0.2">
      <c r="B499" s="19" t="str">
        <f>RIGHT(Data!$B$3,5)</f>
        <v/>
      </c>
      <c r="C499" s="19" t="str">
        <f>RIGHT(Data!$C$3,4)</f>
        <v/>
      </c>
    </row>
    <row r="500" spans="1:49" x14ac:dyDescent="0.2">
      <c r="A500" s="13" t="b">
        <f>Asetukset!F123</f>
        <v>0</v>
      </c>
      <c r="B500" s="25" t="str">
        <f>Asetukset!G123</f>
        <v/>
      </c>
      <c r="C500" s="25" t="str">
        <f>Asetukset!H123</f>
        <v/>
      </c>
      <c r="D500" s="13" t="b">
        <f>Asetukset!F121</f>
        <v>0</v>
      </c>
      <c r="E500" s="13" t="str">
        <f>D500&amp;", "&amp;A24</f>
        <v xml:space="preserve">EPÄTOSI, </v>
      </c>
    </row>
    <row r="501" spans="1:49" x14ac:dyDescent="0.2">
      <c r="A501" s="13" t="b">
        <f>Asetukset!F124</f>
        <v>0</v>
      </c>
      <c r="B501" s="25" t="str">
        <f>Asetukset!G124</f>
        <v/>
      </c>
      <c r="C501" s="25" t="str">
        <f>Asetukset!H124</f>
        <v/>
      </c>
      <c r="E501" s="13" t="str">
        <f>D500&amp;", "&amp;Data!C3</f>
        <v xml:space="preserve">EPÄTOSI, </v>
      </c>
    </row>
    <row r="502" spans="1:49" x14ac:dyDescent="0.2">
      <c r="A502" s="13" t="b">
        <f>Asetukset!F125</f>
        <v>0</v>
      </c>
      <c r="B502" s="25" t="str">
        <f>Asetukset!G125</f>
        <v/>
      </c>
      <c r="C502" s="25" t="str">
        <f>Asetukset!H125</f>
        <v/>
      </c>
    </row>
    <row r="503" spans="1:49" x14ac:dyDescent="0.2"/>
    <row r="504" spans="1:49" x14ac:dyDescent="0.2"/>
    <row r="505" spans="1:49" x14ac:dyDescent="0.2"/>
    <row r="506" spans="1:49" x14ac:dyDescent="0.2"/>
    <row r="507" spans="1:49" x14ac:dyDescent="0.2"/>
    <row r="508" spans="1:49" x14ac:dyDescent="0.2"/>
    <row r="509" spans="1:49" x14ac:dyDescent="0.2"/>
    <row r="510" spans="1:49" x14ac:dyDescent="0.2"/>
    <row r="511" spans="1:49" x14ac:dyDescent="0.2"/>
    <row r="512" spans="1:49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spans="1:5" x14ac:dyDescent="0.2"/>
    <row r="530" spans="1:5" x14ac:dyDescent="0.2"/>
    <row r="531" spans="1:5" x14ac:dyDescent="0.2"/>
    <row r="532" spans="1:5" x14ac:dyDescent="0.2"/>
    <row r="533" spans="1:5" x14ac:dyDescent="0.2"/>
    <row r="534" spans="1:5" x14ac:dyDescent="0.2"/>
    <row r="535" spans="1:5" x14ac:dyDescent="0.2"/>
    <row r="536" spans="1:5" x14ac:dyDescent="0.2"/>
    <row r="537" spans="1:5" x14ac:dyDescent="0.2"/>
    <row r="538" spans="1:5" x14ac:dyDescent="0.2"/>
    <row r="539" spans="1:5" x14ac:dyDescent="0.2"/>
    <row r="540" spans="1:5" x14ac:dyDescent="0.2"/>
    <row r="541" spans="1:5" x14ac:dyDescent="0.2">
      <c r="A541" s="18" t="b">
        <f>Asetukset!F128</f>
        <v>0</v>
      </c>
    </row>
    <row r="542" spans="1:5" x14ac:dyDescent="0.2">
      <c r="B542" s="19" t="str">
        <f>RIGHT(Data!$B$3,5)</f>
        <v/>
      </c>
      <c r="C542" s="19" t="str">
        <f>RIGHT(Data!$C$3,4)</f>
        <v/>
      </c>
      <c r="D542" s="13" t="b">
        <f>IF(Kielivalinta="Suomi","Kausijulkaisut, nimekettä",IF(Kielivalinta="Svenska","Periodika, titlar"))</f>
        <v>0</v>
      </c>
      <c r="E542" s="13" t="str">
        <f>D542&amp;", "&amp;A24</f>
        <v xml:space="preserve">EPÄTOSI, </v>
      </c>
    </row>
    <row r="543" spans="1:5" x14ac:dyDescent="0.2">
      <c r="A543" s="13" t="b">
        <f>Asetukset!F130</f>
        <v>0</v>
      </c>
      <c r="B543" s="25" t="str">
        <f>Asetukset!G130</f>
        <v/>
      </c>
      <c r="C543" s="25" t="str">
        <f>Asetukset!H130</f>
        <v/>
      </c>
      <c r="E543" s="13" t="str">
        <f>D542&amp;", "&amp;Data!C3</f>
        <v xml:space="preserve">EPÄTOSI, </v>
      </c>
    </row>
    <row r="544" spans="1:5" x14ac:dyDescent="0.2">
      <c r="A544" s="13" t="b">
        <f>Asetukset!F131</f>
        <v>0</v>
      </c>
      <c r="B544" s="25" t="str">
        <f>Asetukset!G131</f>
        <v/>
      </c>
      <c r="C544" s="25" t="str">
        <f>Asetukset!H131</f>
        <v/>
      </c>
    </row>
    <row r="545" spans="1:3" x14ac:dyDescent="0.2">
      <c r="A545" s="13" t="b">
        <f>Asetukset!F132</f>
        <v>0</v>
      </c>
      <c r="B545" s="25" t="str">
        <f>Asetukset!G132</f>
        <v/>
      </c>
      <c r="C545" s="25" t="str">
        <f>Asetukset!H132</f>
        <v/>
      </c>
    </row>
    <row r="546" spans="1:3" x14ac:dyDescent="0.2"/>
    <row r="547" spans="1:3" x14ac:dyDescent="0.2"/>
    <row r="548" spans="1:3" x14ac:dyDescent="0.2"/>
    <row r="549" spans="1:3" x14ac:dyDescent="0.2"/>
    <row r="550" spans="1:3" x14ac:dyDescent="0.2"/>
    <row r="551" spans="1:3" x14ac:dyDescent="0.2"/>
    <row r="552" spans="1:3" x14ac:dyDescent="0.2"/>
    <row r="553" spans="1:3" x14ac:dyDescent="0.2"/>
    <row r="554" spans="1:3" x14ac:dyDescent="0.2"/>
    <row r="555" spans="1:3" x14ac:dyDescent="0.2"/>
    <row r="556" spans="1:3" x14ac:dyDescent="0.2"/>
    <row r="557" spans="1:3" x14ac:dyDescent="0.2"/>
    <row r="558" spans="1:3" x14ac:dyDescent="0.2"/>
    <row r="559" spans="1:3" x14ac:dyDescent="0.2"/>
    <row r="560" spans="1:3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spans="1:5" x14ac:dyDescent="0.2"/>
    <row r="578" spans="1:5" x14ac:dyDescent="0.2"/>
    <row r="579" spans="1:5" x14ac:dyDescent="0.2"/>
    <row r="580" spans="1:5" x14ac:dyDescent="0.2"/>
    <row r="581" spans="1:5" x14ac:dyDescent="0.2"/>
    <row r="582" spans="1:5" x14ac:dyDescent="0.2"/>
    <row r="583" spans="1:5" x14ac:dyDescent="0.2"/>
    <row r="584" spans="1:5" x14ac:dyDescent="0.2"/>
    <row r="585" spans="1:5" x14ac:dyDescent="0.2"/>
    <row r="586" spans="1:5" x14ac:dyDescent="0.2">
      <c r="A586" s="18" t="b">
        <f>Asetukset!G189</f>
        <v>0</v>
      </c>
    </row>
    <row r="587" spans="1:5" x14ac:dyDescent="0.2">
      <c r="B587" s="19" t="str">
        <f>RIGHT(Data!$B$3,5)</f>
        <v/>
      </c>
      <c r="C587" s="19" t="str">
        <f>RIGHT(Data!$C$3,4)</f>
        <v/>
      </c>
      <c r="D587" s="13" t="b">
        <f>Asetukset!G189</f>
        <v>0</v>
      </c>
      <c r="E587" s="13" t="str">
        <f>D587&amp;", "&amp;A24</f>
        <v xml:space="preserve">EPÄTOSI, </v>
      </c>
    </row>
    <row r="588" spans="1:5" x14ac:dyDescent="0.2">
      <c r="A588" s="13" t="b">
        <f>Asetukset!F191</f>
        <v>0</v>
      </c>
      <c r="B588" s="25" t="str">
        <f>Asetukset!G191</f>
        <v/>
      </c>
      <c r="C588" s="25" t="str">
        <f>Asetukset!H191</f>
        <v/>
      </c>
      <c r="E588" s="13" t="str">
        <f>D587&amp;", "&amp;Data!C3</f>
        <v xml:space="preserve">EPÄTOSI, </v>
      </c>
    </row>
    <row r="589" spans="1:5" x14ac:dyDescent="0.2">
      <c r="A589" s="13" t="b">
        <f>Asetukset!F192</f>
        <v>0</v>
      </c>
      <c r="B589" s="25" t="str">
        <f>Asetukset!G192</f>
        <v/>
      </c>
      <c r="C589" s="25" t="str">
        <f>Asetukset!H192</f>
        <v/>
      </c>
    </row>
    <row r="590" spans="1:5" x14ac:dyDescent="0.2">
      <c r="A590" s="13" t="b">
        <f>Asetukset!F193</f>
        <v>0</v>
      </c>
      <c r="B590" s="25" t="str">
        <f>Asetukset!G193</f>
        <v/>
      </c>
      <c r="C590" s="25" t="str">
        <f>Asetukset!H193</f>
        <v/>
      </c>
    </row>
    <row r="591" spans="1:5" x14ac:dyDescent="0.2"/>
    <row r="592" spans="1:5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spans="1:49" x14ac:dyDescent="0.2"/>
    <row r="626" spans="1:49" x14ac:dyDescent="0.2"/>
    <row r="627" spans="1:49" ht="15.75" x14ac:dyDescent="0.25">
      <c r="A627" s="17" t="str">
        <f>IF(Kielivalinta="","",IF(Kielivalinta="Suomi","Talous",IF(Kielivalinta="Svenska","Ekonomi")))</f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</row>
    <row r="628" spans="1:49" x14ac:dyDescent="0.2">
      <c r="A628" s="13" t="str">
        <f>Asetukset!F490</f>
        <v/>
      </c>
    </row>
    <row r="629" spans="1:49" x14ac:dyDescent="0.2">
      <c r="B629" s="19" t="str">
        <f>RIGHT(Data!$B$3,5)</f>
        <v/>
      </c>
      <c r="C629" s="19" t="str">
        <f>RIGHT(Data!$C$3,4)</f>
        <v/>
      </c>
      <c r="E629" s="13" t="str">
        <f>A628&amp;", "&amp;A24</f>
        <v xml:space="preserve">, </v>
      </c>
    </row>
    <row r="630" spans="1:49" x14ac:dyDescent="0.2">
      <c r="A630" s="13" t="str">
        <f>Asetukset!F492</f>
        <v/>
      </c>
      <c r="B630" s="27" t="str">
        <f>Asetukset!G492</f>
        <v/>
      </c>
      <c r="C630" s="27" t="str">
        <f>Asetukset!H492</f>
        <v/>
      </c>
      <c r="E630" s="13" t="str">
        <f>A628&amp;", "&amp;Data!C3</f>
        <v xml:space="preserve">, </v>
      </c>
    </row>
    <row r="631" spans="1:49" x14ac:dyDescent="0.2">
      <c r="A631" s="13" t="str">
        <f>Asetukset!F493</f>
        <v/>
      </c>
      <c r="B631" s="27" t="str">
        <f>Asetukset!G493</f>
        <v/>
      </c>
      <c r="C631" s="27" t="str">
        <f>Asetukset!H493</f>
        <v/>
      </c>
    </row>
    <row r="632" spans="1:49" x14ac:dyDescent="0.2">
      <c r="A632" s="13" t="str">
        <f>Asetukset!F494</f>
        <v/>
      </c>
      <c r="B632" s="27" t="str">
        <f>Asetukset!G494</f>
        <v/>
      </c>
      <c r="C632" s="27" t="str">
        <f>Asetukset!H494</f>
        <v/>
      </c>
    </row>
    <row r="633" spans="1:49" x14ac:dyDescent="0.2">
      <c r="A633" s="13" t="str">
        <f>Asetukset!F495</f>
        <v/>
      </c>
      <c r="B633" s="27" t="str">
        <f>Asetukset!G495</f>
        <v/>
      </c>
      <c r="C633" s="27" t="str">
        <f>Asetukset!H495</f>
        <v/>
      </c>
    </row>
    <row r="634" spans="1:49" x14ac:dyDescent="0.2">
      <c r="A634" s="18" t="str">
        <f>Asetukset!F496</f>
        <v/>
      </c>
      <c r="B634" s="28">
        <f>Asetukset!G496</f>
        <v>0</v>
      </c>
      <c r="C634" s="28">
        <f>Asetukset!H496</f>
        <v>0</v>
      </c>
    </row>
    <row r="635" spans="1:49" x14ac:dyDescent="0.2"/>
    <row r="636" spans="1:49" x14ac:dyDescent="0.2"/>
    <row r="637" spans="1:49" x14ac:dyDescent="0.2"/>
    <row r="638" spans="1:49" x14ac:dyDescent="0.2"/>
    <row r="639" spans="1:49" x14ac:dyDescent="0.2"/>
    <row r="640" spans="1:49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spans="1:5" x14ac:dyDescent="0.2"/>
    <row r="674" spans="1:5" x14ac:dyDescent="0.2"/>
    <row r="675" spans="1:5" x14ac:dyDescent="0.2">
      <c r="A675" s="13" t="str">
        <f>Asetukset!F498</f>
        <v/>
      </c>
    </row>
    <row r="676" spans="1:5" x14ac:dyDescent="0.2">
      <c r="B676" s="19" t="str">
        <f>RIGHT(Data!$B$3,5)</f>
        <v/>
      </c>
      <c r="C676" s="19" t="str">
        <f>RIGHT(Data!$C$3,4)</f>
        <v/>
      </c>
      <c r="E676" s="13" t="str">
        <f>A675&amp;", "&amp;A24</f>
        <v xml:space="preserve">, </v>
      </c>
    </row>
    <row r="677" spans="1:5" x14ac:dyDescent="0.2">
      <c r="A677" s="13" t="str">
        <f>Asetukset!F500</f>
        <v/>
      </c>
      <c r="B677" s="27" t="str">
        <f>Asetukset!G500</f>
        <v/>
      </c>
      <c r="C677" s="27" t="str">
        <f>Asetukset!H500</f>
        <v/>
      </c>
      <c r="E677" s="13" t="str">
        <f>A675&amp;", "&amp;Data!C3</f>
        <v xml:space="preserve">, </v>
      </c>
    </row>
    <row r="678" spans="1:5" x14ac:dyDescent="0.2">
      <c r="A678" s="13" t="str">
        <f>Asetukset!F501</f>
        <v/>
      </c>
      <c r="B678" s="27" t="str">
        <f>Asetukset!G501</f>
        <v/>
      </c>
      <c r="C678" s="27" t="str">
        <f>Asetukset!H501</f>
        <v/>
      </c>
    </row>
    <row r="679" spans="1:5" x14ac:dyDescent="0.2">
      <c r="A679" s="13" t="str">
        <f>Asetukset!F502</f>
        <v/>
      </c>
      <c r="B679" s="27" t="str">
        <f>Asetukset!G502</f>
        <v/>
      </c>
      <c r="C679" s="27" t="str">
        <f>Asetukset!H502</f>
        <v/>
      </c>
    </row>
    <row r="680" spans="1:5" x14ac:dyDescent="0.2">
      <c r="A680" s="18" t="str">
        <f>Asetukset!F503</f>
        <v/>
      </c>
      <c r="B680" s="28">
        <f>Asetukset!G503</f>
        <v>0</v>
      </c>
      <c r="C680" s="28">
        <f>Asetukset!H503</f>
        <v>0</v>
      </c>
    </row>
    <row r="681" spans="1:5" x14ac:dyDescent="0.2"/>
    <row r="682" spans="1:5" x14ac:dyDescent="0.2"/>
    <row r="683" spans="1:5" x14ac:dyDescent="0.2"/>
    <row r="684" spans="1:5" x14ac:dyDescent="0.2"/>
    <row r="685" spans="1:5" x14ac:dyDescent="0.2"/>
    <row r="686" spans="1:5" x14ac:dyDescent="0.2"/>
    <row r="687" spans="1:5" x14ac:dyDescent="0.2"/>
    <row r="688" spans="1:5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spans="1:5" x14ac:dyDescent="0.2"/>
    <row r="706" spans="1:5" x14ac:dyDescent="0.2"/>
    <row r="707" spans="1:5" x14ac:dyDescent="0.2"/>
    <row r="708" spans="1:5" x14ac:dyDescent="0.2"/>
    <row r="709" spans="1:5" x14ac:dyDescent="0.2"/>
    <row r="710" spans="1:5" x14ac:dyDescent="0.2"/>
    <row r="711" spans="1:5" x14ac:dyDescent="0.2"/>
    <row r="712" spans="1:5" x14ac:dyDescent="0.2"/>
    <row r="713" spans="1:5" x14ac:dyDescent="0.2"/>
    <row r="714" spans="1:5" x14ac:dyDescent="0.2"/>
    <row r="715" spans="1:5" x14ac:dyDescent="0.2"/>
    <row r="716" spans="1:5" x14ac:dyDescent="0.2"/>
    <row r="717" spans="1:5" x14ac:dyDescent="0.2"/>
    <row r="718" spans="1:5" x14ac:dyDescent="0.2"/>
    <row r="719" spans="1:5" x14ac:dyDescent="0.2"/>
    <row r="720" spans="1:5" x14ac:dyDescent="0.2">
      <c r="A720" s="18" t="str">
        <f>Asetukset!F498</f>
        <v/>
      </c>
      <c r="E720" s="13" t="str">
        <f>A720&amp;", "&amp;A24</f>
        <v xml:space="preserve">, </v>
      </c>
    </row>
    <row r="721" spans="1:5" x14ac:dyDescent="0.2">
      <c r="B721" s="19" t="str">
        <f>RIGHT(Data!$B$3,5)</f>
        <v/>
      </c>
      <c r="C721" s="19" t="str">
        <f>RIGHT(Data!$C$3,4)</f>
        <v/>
      </c>
      <c r="E721" s="13" t="str">
        <f>A720&amp;", "&amp;Data!C3</f>
        <v xml:space="preserve">, </v>
      </c>
    </row>
    <row r="722" spans="1:5" x14ac:dyDescent="0.2">
      <c r="A722" s="13" t="str">
        <f>Asetukset!F506</f>
        <v/>
      </c>
      <c r="B722" s="27" t="str">
        <f>Asetukset!G506</f>
        <v/>
      </c>
      <c r="C722" s="27" t="str">
        <f>Asetukset!H506</f>
        <v/>
      </c>
      <c r="E722" s="13" t="str">
        <f>A731&amp;", "&amp;A24</f>
        <v xml:space="preserve">, </v>
      </c>
    </row>
    <row r="723" spans="1:5" x14ac:dyDescent="0.2">
      <c r="A723" s="13" t="str">
        <f>Asetukset!F507</f>
        <v/>
      </c>
      <c r="B723" s="27" t="str">
        <f>Asetukset!G507</f>
        <v/>
      </c>
      <c r="C723" s="27" t="str">
        <f>Asetukset!H507</f>
        <v/>
      </c>
      <c r="E723" s="13" t="str">
        <f>A731&amp;", "&amp;Data!C3</f>
        <v xml:space="preserve">, </v>
      </c>
    </row>
    <row r="724" spans="1:5" x14ac:dyDescent="0.2">
      <c r="A724" s="13" t="str">
        <f>Asetukset!F508</f>
        <v/>
      </c>
      <c r="B724" s="27" t="str">
        <f>Asetukset!G508</f>
        <v/>
      </c>
      <c r="C724" s="27" t="str">
        <f>Asetukset!H508</f>
        <v/>
      </c>
      <c r="E724" s="13" t="str">
        <f>A732&amp;", "&amp;A24</f>
        <v xml:space="preserve">, </v>
      </c>
    </row>
    <row r="725" spans="1:5" x14ac:dyDescent="0.2">
      <c r="A725" s="13" t="str">
        <f>Asetukset!F509</f>
        <v/>
      </c>
      <c r="B725" s="27" t="str">
        <f>Asetukset!G509</f>
        <v/>
      </c>
      <c r="C725" s="27" t="str">
        <f>Asetukset!H509</f>
        <v/>
      </c>
      <c r="E725" s="13" t="str">
        <f>A732&amp;", "&amp;Data!C3</f>
        <v xml:space="preserve">, </v>
      </c>
    </row>
    <row r="726" spans="1:5" x14ac:dyDescent="0.2">
      <c r="A726" s="13" t="str">
        <f>Asetukset!F510</f>
        <v>E-kurssimateriaalit</v>
      </c>
      <c r="B726" s="27" t="str">
        <f>Asetukset!G510</f>
        <v/>
      </c>
      <c r="C726" s="27" t="str">
        <f>Asetukset!H510</f>
        <v/>
      </c>
    </row>
    <row r="727" spans="1:5" x14ac:dyDescent="0.2">
      <c r="A727" s="13" t="str">
        <f>Asetukset!F511</f>
        <v/>
      </c>
      <c r="B727" s="27" t="str">
        <f>Asetukset!G511</f>
        <v/>
      </c>
      <c r="C727" s="27" t="str">
        <f>Asetukset!H511</f>
        <v/>
      </c>
    </row>
    <row r="728" spans="1:5" x14ac:dyDescent="0.2">
      <c r="A728" s="13" t="str">
        <f>Asetukset!F512</f>
        <v/>
      </c>
      <c r="B728" s="27" t="str">
        <f>Asetukset!G512</f>
        <v/>
      </c>
      <c r="C728" s="27" t="str">
        <f>Asetukset!H512</f>
        <v/>
      </c>
    </row>
    <row r="729" spans="1:5" x14ac:dyDescent="0.2">
      <c r="A729" s="13" t="str">
        <f>Asetukset!F513</f>
        <v/>
      </c>
      <c r="B729" s="27" t="str">
        <f>Asetukset!G513</f>
        <v/>
      </c>
      <c r="C729" s="27" t="str">
        <f>Asetukset!H513</f>
        <v/>
      </c>
    </row>
    <row r="730" spans="1:5" x14ac:dyDescent="0.2">
      <c r="A730" s="24" t="str">
        <f>Asetukset!F514</f>
        <v/>
      </c>
      <c r="B730" s="28">
        <f>Asetukset!G514</f>
        <v>0</v>
      </c>
      <c r="C730" s="28">
        <f>Asetukset!H514</f>
        <v>0</v>
      </c>
    </row>
    <row r="731" spans="1:5" x14ac:dyDescent="0.2">
      <c r="A731" s="13" t="str">
        <f>Asetukset!I500</f>
        <v/>
      </c>
      <c r="B731" s="27" t="str">
        <f>Asetukset!G500</f>
        <v/>
      </c>
      <c r="C731" s="27" t="str">
        <f>Asetukset!H500</f>
        <v/>
      </c>
    </row>
    <row r="732" spans="1:5" x14ac:dyDescent="0.2">
      <c r="A732" s="13" t="str">
        <f>Asetukset!I501</f>
        <v/>
      </c>
      <c r="B732" s="27" t="str">
        <f>Asetukset!G501</f>
        <v/>
      </c>
      <c r="C732" s="27" t="str">
        <f>Asetukset!H501</f>
        <v/>
      </c>
    </row>
    <row r="733" spans="1:5" x14ac:dyDescent="0.2"/>
    <row r="734" spans="1:5" x14ac:dyDescent="0.2"/>
    <row r="735" spans="1:5" x14ac:dyDescent="0.2"/>
    <row r="736" spans="1:5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spans="1:5" x14ac:dyDescent="0.2"/>
    <row r="770" spans="1:5" x14ac:dyDescent="0.2"/>
    <row r="771" spans="1:5" x14ac:dyDescent="0.2"/>
    <row r="772" spans="1:5" x14ac:dyDescent="0.2">
      <c r="A772" s="18" t="str">
        <f>Asetukset!F541</f>
        <v/>
      </c>
    </row>
    <row r="773" spans="1:5" x14ac:dyDescent="0.2">
      <c r="B773" s="19" t="str">
        <f>RIGHT(Data!$B$3,5)</f>
        <v/>
      </c>
      <c r="C773" s="19" t="str">
        <f>RIGHT(Data!$C$3,4)</f>
        <v/>
      </c>
      <c r="E773" s="13" t="str">
        <f>A772&amp;", "&amp;A24</f>
        <v xml:space="preserve">, </v>
      </c>
    </row>
    <row r="774" spans="1:5" x14ac:dyDescent="0.2">
      <c r="A774" s="13" t="str">
        <f>Asetukset!F543</f>
        <v/>
      </c>
      <c r="B774" s="29" t="str">
        <f>Asetukset!G543</f>
        <v/>
      </c>
      <c r="C774" s="29" t="str">
        <f>Asetukset!H543</f>
        <v/>
      </c>
      <c r="E774" s="13" t="str">
        <f>A772&amp;", "&amp;Data!C3</f>
        <v xml:space="preserve">, </v>
      </c>
    </row>
    <row r="775" spans="1:5" x14ac:dyDescent="0.2">
      <c r="A775" s="13" t="str">
        <f>Asetukset!F544</f>
        <v/>
      </c>
      <c r="B775" s="29" t="str">
        <f>Asetukset!G544</f>
        <v/>
      </c>
      <c r="C775" s="29" t="str">
        <f>Asetukset!H544</f>
        <v/>
      </c>
    </row>
    <row r="776" spans="1:5" x14ac:dyDescent="0.2">
      <c r="A776" s="13" t="str">
        <f>Asetukset!F545</f>
        <v/>
      </c>
      <c r="B776" s="29" t="str">
        <f>Asetukset!G545</f>
        <v/>
      </c>
      <c r="C776" s="29" t="str">
        <f>Asetukset!H545</f>
        <v/>
      </c>
    </row>
    <row r="777" spans="1:5" x14ac:dyDescent="0.2">
      <c r="A777" s="13" t="str">
        <f>Asetukset!F546</f>
        <v/>
      </c>
      <c r="B777" s="29" t="str">
        <f>Asetukset!G546</f>
        <v/>
      </c>
      <c r="C777" s="29" t="str">
        <f>Asetukset!H546</f>
        <v/>
      </c>
    </row>
    <row r="778" spans="1:5" x14ac:dyDescent="0.2">
      <c r="A778" s="13" t="str">
        <f>Asetukset!F547</f>
        <v/>
      </c>
      <c r="B778" s="29" t="str">
        <f>Asetukset!G547</f>
        <v/>
      </c>
      <c r="C778" s="29" t="str">
        <f>Asetukset!H547</f>
        <v/>
      </c>
    </row>
    <row r="779" spans="1:5" x14ac:dyDescent="0.2">
      <c r="A779" s="18" t="str">
        <f>Asetukset!F548</f>
        <v/>
      </c>
      <c r="B779" s="30">
        <f>Asetukset!G548</f>
        <v>0</v>
      </c>
      <c r="C779" s="30">
        <f>Asetukset!H548</f>
        <v>0</v>
      </c>
    </row>
    <row r="780" spans="1:5" x14ac:dyDescent="0.2">
      <c r="A780" s="18"/>
      <c r="B780" s="30"/>
      <c r="C780" s="30"/>
    </row>
    <row r="781" spans="1:5" x14ac:dyDescent="0.2">
      <c r="A781" s="18"/>
      <c r="B781" s="30"/>
      <c r="C781" s="30"/>
    </row>
    <row r="782" spans="1:5" x14ac:dyDescent="0.2">
      <c r="A782" s="18"/>
      <c r="B782" s="30"/>
      <c r="C782" s="30"/>
    </row>
    <row r="783" spans="1:5" x14ac:dyDescent="0.2">
      <c r="A783" s="18"/>
      <c r="B783" s="30"/>
      <c r="C783" s="30"/>
    </row>
    <row r="784" spans="1:5" x14ac:dyDescent="0.2">
      <c r="A784" s="18"/>
      <c r="B784" s="30"/>
      <c r="C784" s="30"/>
    </row>
    <row r="785" spans="1:3" x14ac:dyDescent="0.2">
      <c r="A785" s="18"/>
      <c r="B785" s="30"/>
      <c r="C785" s="30"/>
    </row>
    <row r="786" spans="1:3" x14ac:dyDescent="0.2">
      <c r="A786" s="18"/>
      <c r="B786" s="30"/>
      <c r="C786" s="30"/>
    </row>
    <row r="787" spans="1:3" x14ac:dyDescent="0.2">
      <c r="A787" s="18"/>
      <c r="B787" s="30"/>
      <c r="C787" s="30"/>
    </row>
    <row r="788" spans="1:3" x14ac:dyDescent="0.2">
      <c r="A788" s="18"/>
      <c r="B788" s="30"/>
      <c r="C788" s="30"/>
    </row>
    <row r="789" spans="1:3" x14ac:dyDescent="0.2">
      <c r="A789" s="18"/>
      <c r="B789" s="30"/>
      <c r="C789" s="30"/>
    </row>
    <row r="790" spans="1:3" x14ac:dyDescent="0.2">
      <c r="A790" s="18"/>
      <c r="B790" s="30"/>
      <c r="C790" s="30"/>
    </row>
    <row r="791" spans="1:3" x14ac:dyDescent="0.2">
      <c r="A791" s="18"/>
      <c r="B791" s="30"/>
      <c r="C791" s="30"/>
    </row>
    <row r="792" spans="1:3" x14ac:dyDescent="0.2">
      <c r="A792" s="18"/>
      <c r="B792" s="30"/>
      <c r="C792" s="30"/>
    </row>
    <row r="793" spans="1:3" x14ac:dyDescent="0.2">
      <c r="A793" s="18"/>
      <c r="B793" s="30"/>
      <c r="C793" s="30"/>
    </row>
    <row r="794" spans="1:3" x14ac:dyDescent="0.2">
      <c r="A794" s="18"/>
      <c r="B794" s="30"/>
      <c r="C794" s="30"/>
    </row>
    <row r="795" spans="1:3" x14ac:dyDescent="0.2">
      <c r="A795" s="18"/>
      <c r="B795" s="30"/>
      <c r="C795" s="30"/>
    </row>
    <row r="796" spans="1:3" x14ac:dyDescent="0.2">
      <c r="A796" s="18"/>
      <c r="B796" s="30"/>
      <c r="C796" s="30"/>
    </row>
    <row r="797" spans="1:3" x14ac:dyDescent="0.2">
      <c r="A797" s="18"/>
      <c r="B797" s="30"/>
      <c r="C797" s="30"/>
    </row>
    <row r="798" spans="1:3" x14ac:dyDescent="0.2">
      <c r="A798" s="18"/>
      <c r="B798" s="30"/>
      <c r="C798" s="30"/>
    </row>
    <row r="799" spans="1:3" x14ac:dyDescent="0.2">
      <c r="A799" s="18"/>
      <c r="B799" s="30"/>
      <c r="C799" s="30"/>
    </row>
    <row r="800" spans="1:3" x14ac:dyDescent="0.2">
      <c r="A800" s="18"/>
      <c r="B800" s="30"/>
      <c r="C800" s="30"/>
    </row>
    <row r="801" spans="1:3" x14ac:dyDescent="0.2">
      <c r="A801" s="18"/>
      <c r="B801" s="30"/>
      <c r="C801" s="30"/>
    </row>
    <row r="802" spans="1:3" x14ac:dyDescent="0.2">
      <c r="A802" s="18"/>
      <c r="B802" s="30"/>
      <c r="C802" s="30"/>
    </row>
    <row r="803" spans="1:3" x14ac:dyDescent="0.2">
      <c r="A803" s="18"/>
      <c r="B803" s="30"/>
      <c r="C803" s="30"/>
    </row>
    <row r="804" spans="1:3" x14ac:dyDescent="0.2">
      <c r="A804" s="18"/>
      <c r="B804" s="30"/>
      <c r="C804" s="30"/>
    </row>
    <row r="805" spans="1:3" x14ac:dyDescent="0.2">
      <c r="A805" s="18"/>
      <c r="B805" s="30"/>
      <c r="C805" s="30"/>
    </row>
    <row r="806" spans="1:3" x14ac:dyDescent="0.2">
      <c r="A806" s="18"/>
      <c r="B806" s="30"/>
      <c r="C806" s="30"/>
    </row>
    <row r="807" spans="1:3" x14ac:dyDescent="0.2">
      <c r="A807" s="18"/>
      <c r="B807" s="30"/>
      <c r="C807" s="30"/>
    </row>
    <row r="808" spans="1:3" x14ac:dyDescent="0.2">
      <c r="A808" s="18"/>
      <c r="B808" s="30"/>
      <c r="C808" s="30"/>
    </row>
    <row r="809" spans="1:3" x14ac:dyDescent="0.2">
      <c r="A809" s="18"/>
      <c r="B809" s="30"/>
      <c r="C809" s="30"/>
    </row>
    <row r="810" spans="1:3" x14ac:dyDescent="0.2">
      <c r="A810" s="18"/>
      <c r="B810" s="30"/>
      <c r="C810" s="30"/>
    </row>
    <row r="811" spans="1:3" x14ac:dyDescent="0.2">
      <c r="A811" s="18"/>
      <c r="B811" s="30"/>
      <c r="C811" s="30"/>
    </row>
    <row r="812" spans="1:3" x14ac:dyDescent="0.2">
      <c r="A812" s="18"/>
      <c r="B812" s="30"/>
      <c r="C812" s="30"/>
    </row>
    <row r="813" spans="1:3" x14ac:dyDescent="0.2">
      <c r="A813" s="18"/>
      <c r="B813" s="30"/>
      <c r="C813" s="30"/>
    </row>
    <row r="814" spans="1:3" x14ac:dyDescent="0.2">
      <c r="A814" s="18"/>
      <c r="B814" s="30"/>
      <c r="C814" s="30"/>
    </row>
    <row r="815" spans="1:3" x14ac:dyDescent="0.2">
      <c r="A815" s="18"/>
      <c r="B815" s="30"/>
      <c r="C815" s="30"/>
    </row>
    <row r="816" spans="1:3" x14ac:dyDescent="0.2">
      <c r="B816" s="29"/>
      <c r="C816" s="29"/>
    </row>
    <row r="817" spans="1:5" x14ac:dyDescent="0.2">
      <c r="A817" s="18" t="str">
        <f>Asetukset!F550</f>
        <v/>
      </c>
      <c r="B817" s="29"/>
      <c r="C817" s="29"/>
    </row>
    <row r="818" spans="1:5" x14ac:dyDescent="0.2">
      <c r="B818" s="19" t="str">
        <f>RIGHT(Data!$B$3,5)</f>
        <v/>
      </c>
      <c r="C818" s="19" t="str">
        <f>RIGHT(Data!$C$3,4)</f>
        <v/>
      </c>
      <c r="E818" s="13" t="str">
        <f>A817&amp;", "&amp;A24</f>
        <v xml:space="preserve">, </v>
      </c>
    </row>
    <row r="819" spans="1:5" x14ac:dyDescent="0.2">
      <c r="A819" s="13" t="str">
        <f>Asetukset!F552</f>
        <v/>
      </c>
      <c r="B819" s="29" t="str">
        <f>Asetukset!G552</f>
        <v/>
      </c>
      <c r="C819" s="29" t="str">
        <f>Asetukset!H552</f>
        <v/>
      </c>
      <c r="E819" s="13" t="str">
        <f>A817&amp;", "&amp;Data!C3</f>
        <v xml:space="preserve">, </v>
      </c>
    </row>
    <row r="820" spans="1:5" x14ac:dyDescent="0.2">
      <c r="A820" s="13" t="str">
        <f>Asetukset!F553</f>
        <v/>
      </c>
      <c r="B820" s="29" t="str">
        <f>Asetukset!G553</f>
        <v/>
      </c>
      <c r="C820" s="29" t="str">
        <f>Asetukset!H553</f>
        <v/>
      </c>
    </row>
    <row r="821" spans="1:5" x14ac:dyDescent="0.2">
      <c r="A821" s="13" t="str">
        <f>Asetukset!F554</f>
        <v/>
      </c>
      <c r="B821" s="29" t="str">
        <f>Asetukset!G554</f>
        <v/>
      </c>
      <c r="C821" s="29" t="str">
        <f>Asetukset!H554</f>
        <v/>
      </c>
    </row>
    <row r="822" spans="1:5" x14ac:dyDescent="0.2">
      <c r="A822" s="18" t="str">
        <f>Asetukset!F555</f>
        <v/>
      </c>
      <c r="B822" s="30">
        <f>Asetukset!G555</f>
        <v>0</v>
      </c>
      <c r="C822" s="30">
        <f>Asetukset!H555</f>
        <v>0</v>
      </c>
    </row>
    <row r="823" spans="1:5" x14ac:dyDescent="0.2"/>
    <row r="824" spans="1:5" x14ac:dyDescent="0.2"/>
    <row r="825" spans="1:5" x14ac:dyDescent="0.2"/>
    <row r="826" spans="1:5" x14ac:dyDescent="0.2"/>
    <row r="827" spans="1:5" x14ac:dyDescent="0.2"/>
    <row r="828" spans="1:5" x14ac:dyDescent="0.2"/>
    <row r="829" spans="1:5" x14ac:dyDescent="0.2"/>
    <row r="830" spans="1:5" x14ac:dyDescent="0.2"/>
    <row r="831" spans="1:5" x14ac:dyDescent="0.2"/>
    <row r="832" spans="1:5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spans="1:49" x14ac:dyDescent="0.2"/>
    <row r="866" spans="1:49" ht="15.75" x14ac:dyDescent="0.25">
      <c r="A866" s="17" t="str">
        <f>Asetukset!F561</f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</row>
    <row r="867" spans="1:49" x14ac:dyDescent="0.2">
      <c r="B867" s="19" t="str">
        <f>RIGHT(Data!$B$3,5)</f>
        <v/>
      </c>
      <c r="C867" s="19" t="str">
        <f>RIGHT(Data!$C$3,4)</f>
        <v/>
      </c>
      <c r="E867" s="13" t="str">
        <f>A866&amp;", "&amp;A24</f>
        <v xml:space="preserve">, </v>
      </c>
    </row>
    <row r="868" spans="1:49" x14ac:dyDescent="0.2">
      <c r="A868" s="13" t="str">
        <f>Asetukset!F563</f>
        <v/>
      </c>
      <c r="B868" s="21" t="str">
        <f>Asetukset!G563</f>
        <v/>
      </c>
      <c r="C868" s="21" t="str">
        <f>Asetukset!H563</f>
        <v/>
      </c>
      <c r="E868" s="13" t="str">
        <f>A866&amp;", "&amp;Data!C3</f>
        <v xml:space="preserve">, </v>
      </c>
    </row>
    <row r="869" spans="1:49" x14ac:dyDescent="0.2">
      <c r="A869" s="13" t="str">
        <f>Asetukset!F564</f>
        <v/>
      </c>
      <c r="B869" s="29" t="str">
        <f>Asetukset!G564</f>
        <v/>
      </c>
      <c r="C869" s="29" t="str">
        <f>Asetukset!H564</f>
        <v/>
      </c>
    </row>
    <row r="870" spans="1:49" x14ac:dyDescent="0.2">
      <c r="A870" s="13" t="str">
        <f>Asetukset!F565</f>
        <v/>
      </c>
      <c r="B870" s="29" t="str">
        <f>Asetukset!G565</f>
        <v/>
      </c>
      <c r="C870" s="29" t="str">
        <f>Asetukset!H565</f>
        <v/>
      </c>
    </row>
    <row r="871" spans="1:49" x14ac:dyDescent="0.2">
      <c r="A871" s="13" t="str">
        <f>Asetukset!F566</f>
        <v/>
      </c>
      <c r="B871" s="29" t="str">
        <f>Asetukset!G566</f>
        <v/>
      </c>
      <c r="C871" s="29" t="str">
        <f>Asetukset!H566</f>
        <v/>
      </c>
    </row>
    <row r="872" spans="1:49" x14ac:dyDescent="0.2">
      <c r="A872" s="18" t="str">
        <f>Asetukset!F567</f>
        <v/>
      </c>
      <c r="B872" s="30">
        <f>Asetukset!G567</f>
        <v>0</v>
      </c>
      <c r="C872" s="30">
        <f>Asetukset!H567</f>
        <v>0</v>
      </c>
    </row>
    <row r="873" spans="1:49" x14ac:dyDescent="0.2"/>
    <row r="874" spans="1:49" x14ac:dyDescent="0.2"/>
    <row r="875" spans="1:49" x14ac:dyDescent="0.2"/>
    <row r="876" spans="1:49" x14ac:dyDescent="0.2"/>
    <row r="877" spans="1:49" x14ac:dyDescent="0.2"/>
    <row r="878" spans="1:49" x14ac:dyDescent="0.2"/>
    <row r="879" spans="1:49" x14ac:dyDescent="0.2"/>
    <row r="880" spans="1:49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spans="1:1" x14ac:dyDescent="0.2"/>
    <row r="898" spans="1:1" x14ac:dyDescent="0.2"/>
    <row r="899" spans="1:1" x14ac:dyDescent="0.2"/>
    <row r="900" spans="1:1" x14ac:dyDescent="0.2"/>
    <row r="901" spans="1:1" x14ac:dyDescent="0.2"/>
    <row r="902" spans="1:1" x14ac:dyDescent="0.2"/>
    <row r="903" spans="1:1" x14ac:dyDescent="0.2"/>
    <row r="904" spans="1:1" x14ac:dyDescent="0.2"/>
    <row r="905" spans="1:1" x14ac:dyDescent="0.2"/>
    <row r="906" spans="1:1" x14ac:dyDescent="0.2"/>
    <row r="907" spans="1:1" x14ac:dyDescent="0.2"/>
    <row r="908" spans="1:1" x14ac:dyDescent="0.2"/>
    <row r="909" spans="1:1" x14ac:dyDescent="0.2"/>
    <row r="910" spans="1:1" x14ac:dyDescent="0.2"/>
    <row r="911" spans="1:1" x14ac:dyDescent="0.2"/>
    <row r="912" spans="1:1" x14ac:dyDescent="0.2">
      <c r="A912" s="18" t="str">
        <f>Asetukset!F569</f>
        <v/>
      </c>
    </row>
    <row r="913" spans="1:5" x14ac:dyDescent="0.2">
      <c r="B913" s="19" t="str">
        <f>RIGHT(Data!$B$3,5)</f>
        <v/>
      </c>
      <c r="C913" s="19" t="str">
        <f>RIGHT(Data!$C$3,4)</f>
        <v/>
      </c>
      <c r="E913" s="13" t="str">
        <f>A912&amp;", "&amp;A24</f>
        <v xml:space="preserve">, </v>
      </c>
    </row>
    <row r="914" spans="1:5" x14ac:dyDescent="0.2">
      <c r="A914" s="13" t="str">
        <f>Asetukset!F571</f>
        <v/>
      </c>
      <c r="B914" s="29" t="str">
        <f>Asetukset!G571</f>
        <v/>
      </c>
      <c r="C914" s="29" t="str">
        <f>Asetukset!H571</f>
        <v/>
      </c>
      <c r="E914" s="13" t="str">
        <f>A912&amp;", "&amp;Data!C3</f>
        <v xml:space="preserve">, </v>
      </c>
    </row>
    <row r="915" spans="1:5" x14ac:dyDescent="0.2">
      <c r="A915" s="13" t="str">
        <f>Asetukset!F572</f>
        <v/>
      </c>
      <c r="B915" s="29" t="str">
        <f>Asetukset!G572</f>
        <v/>
      </c>
      <c r="C915" s="29" t="str">
        <f>Asetukset!H572</f>
        <v/>
      </c>
    </row>
    <row r="916" spans="1:5" x14ac:dyDescent="0.2">
      <c r="A916" s="13" t="str">
        <f>Asetukset!F573</f>
        <v/>
      </c>
      <c r="B916" s="29" t="str">
        <f>Asetukset!G573</f>
        <v/>
      </c>
      <c r="C916" s="29" t="str">
        <f>Asetukset!H573</f>
        <v/>
      </c>
    </row>
    <row r="917" spans="1:5" x14ac:dyDescent="0.2">
      <c r="A917" s="18" t="str">
        <f>Asetukset!F574</f>
        <v/>
      </c>
      <c r="B917" s="30">
        <f>Asetukset!G574</f>
        <v>0</v>
      </c>
      <c r="C917" s="30">
        <f>Asetukset!H574</f>
        <v>0</v>
      </c>
    </row>
    <row r="918" spans="1:5" x14ac:dyDescent="0.2"/>
    <row r="919" spans="1:5" x14ac:dyDescent="0.2"/>
    <row r="920" spans="1:5" x14ac:dyDescent="0.2"/>
    <row r="921" spans="1:5" x14ac:dyDescent="0.2"/>
    <row r="922" spans="1:5" x14ac:dyDescent="0.2"/>
    <row r="923" spans="1:5" x14ac:dyDescent="0.2"/>
    <row r="924" spans="1:5" x14ac:dyDescent="0.2"/>
    <row r="925" spans="1:5" x14ac:dyDescent="0.2"/>
    <row r="926" spans="1:5" x14ac:dyDescent="0.2"/>
    <row r="927" spans="1:5" x14ac:dyDescent="0.2"/>
    <row r="928" spans="1:5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spans="1:5" x14ac:dyDescent="0.2"/>
    <row r="946" spans="1:5" x14ac:dyDescent="0.2"/>
    <row r="947" spans="1:5" x14ac:dyDescent="0.2"/>
    <row r="948" spans="1:5" x14ac:dyDescent="0.2"/>
    <row r="949" spans="1:5" x14ac:dyDescent="0.2"/>
    <row r="950" spans="1:5" x14ac:dyDescent="0.2"/>
    <row r="951" spans="1:5" x14ac:dyDescent="0.2">
      <c r="A951" s="18" t="str">
        <f>Asetukset!F576</f>
        <v/>
      </c>
    </row>
    <row r="952" spans="1:5" x14ac:dyDescent="0.2">
      <c r="B952" s="19" t="str">
        <f>RIGHT(Data!$B$3,5)</f>
        <v/>
      </c>
      <c r="C952" s="19" t="str">
        <f>RIGHT(Data!$C$3,4)</f>
        <v/>
      </c>
      <c r="E952" s="13" t="str">
        <f>A951&amp;", "&amp;A24</f>
        <v xml:space="preserve">, </v>
      </c>
    </row>
    <row r="953" spans="1:5" x14ac:dyDescent="0.2">
      <c r="A953" s="13" t="str">
        <f>Asetukset!F578</f>
        <v/>
      </c>
      <c r="B953" s="29" t="str">
        <f>Asetukset!I578</f>
        <v/>
      </c>
      <c r="C953" s="29" t="str">
        <f>Asetukset!J578</f>
        <v/>
      </c>
      <c r="E953" s="13" t="str">
        <f>A951&amp;", "&amp;Data!C3</f>
        <v xml:space="preserve">, </v>
      </c>
    </row>
    <row r="954" spans="1:5" x14ac:dyDescent="0.2">
      <c r="A954" s="13" t="str">
        <f>Asetukset!F579</f>
        <v/>
      </c>
      <c r="B954" s="29" t="str">
        <f>Asetukset!I579</f>
        <v/>
      </c>
      <c r="C954" s="29" t="str">
        <f>Asetukset!J579</f>
        <v/>
      </c>
    </row>
    <row r="955" spans="1:5" x14ac:dyDescent="0.2">
      <c r="A955" s="13" t="str">
        <f>Asetukset!F580</f>
        <v/>
      </c>
      <c r="B955" s="29" t="str">
        <f>IFERROR(Asetukset!I580*1000,"")</f>
        <v/>
      </c>
      <c r="C955" s="29" t="str">
        <f>IFERROR(Asetukset!J580*1000,"")</f>
        <v/>
      </c>
    </row>
    <row r="956" spans="1:5" x14ac:dyDescent="0.2">
      <c r="A956" s="13" t="str">
        <f>Asetukset!F581</f>
        <v>Valitse kieli</v>
      </c>
      <c r="B956" s="29" t="str">
        <f>Asetukset!I581</f>
        <v/>
      </c>
      <c r="C956" s="29" t="str">
        <f>Asetukset!J581</f>
        <v/>
      </c>
    </row>
    <row r="957" spans="1:5" x14ac:dyDescent="0.2">
      <c r="A957" s="13" t="str">
        <f>Asetukset!F582</f>
        <v>Valitse kieli</v>
      </c>
      <c r="B957" s="29" t="str">
        <f>Asetukset!I582</f>
        <v/>
      </c>
      <c r="C957" s="29" t="str">
        <f>Asetukset!J582</f>
        <v/>
      </c>
    </row>
    <row r="958" spans="1:5" x14ac:dyDescent="0.2">
      <c r="A958" s="13" t="str">
        <f>Asetukset!F583</f>
        <v>Valitse kieli</v>
      </c>
      <c r="B958" s="29" t="str">
        <f>Asetukset!I583</f>
        <v/>
      </c>
      <c r="C958" s="29" t="str">
        <f>Asetukset!J583</f>
        <v/>
      </c>
    </row>
    <row r="959" spans="1:5" x14ac:dyDescent="0.2">
      <c r="B959" s="29"/>
      <c r="C959" s="29"/>
    </row>
    <row r="960" spans="1:5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</sheetData>
  <sheetProtection algorithmName="SHA-512" hashValue="WL6/2TFX25W0QQ5g+7rhEws+xdfDSKinoL181b+tQYfs9kTp8sZv3xd7T2hcXEPmwXbMe/GvoJQeZZHIhdWQgw==" saltValue="jGZGe6oK0WBqiVWi9M7u1w==" spinCount="100000" sheet="1"/>
  <mergeCells count="3">
    <mergeCell ref="A75:B76"/>
    <mergeCell ref="A112:B113"/>
    <mergeCell ref="E1:G2"/>
  </mergeCells>
  <hyperlinks>
    <hyperlink ref="A6" location="Palvelut" display="Palvelut"/>
    <hyperlink ref="C7" location="Lainaus_ja_uusinnat" display="Lainaus ja uusinnat"/>
    <hyperlink ref="A7" location="Ulkoinen_vaikuttavuus" display="Kirjaston ulkoinen vaikuttavuus"/>
    <hyperlink ref="A8" location="Opetus" display="Opetus"/>
    <hyperlink ref="A9" location="Aktiiviset_lainaajat" display="Aktiiviset_lainaajat"/>
    <hyperlink ref="A12" location="Kokoelmat" display="Kokoelmat"/>
    <hyperlink ref="C8" location="Kokonaislainaus" display="Kokonaislainaus"/>
    <hyperlink ref="A10" location="KITT2030_asiakasryhmat" display="KITT2030_asiakasryhmat"/>
    <hyperlink ref="A11" location="Kaynnit" display="Kaynnit"/>
    <hyperlink ref="C9" location="Kaukolainaus" display="Kaukolainaus"/>
    <hyperlink ref="C10" location="Tietopalvelu" display="Tietopalvelu"/>
    <hyperlink ref="F7" location="Aukiolo" display="Aukiolo"/>
    <hyperlink ref="F8" location="Aukiolotunnit" display="Aukiolotunnit"/>
    <hyperlink ref="F9" location="Aukiolopaivat" display="Aukiolopaivat"/>
    <hyperlink ref="C11" location="Elektroniset_palvelut" display="Elektroniset_palvelut"/>
    <hyperlink ref="A13" location="Painetut_ja_elektroniset" display="Painetut_ja_elektroniset"/>
    <hyperlink ref="A14" location="Saapuvat_kausijulkaisut" display="Saapuvat_kausijulkaisut"/>
    <hyperlink ref="A15" location="Kirjahankinnat" display="Kirjahankinnat"/>
    <hyperlink ref="A17" location="Toimintamenot_paaluokat" display="Toimintamenot_paaluokat"/>
    <hyperlink ref="A18" location="Aineistomenot_paaluokat" display="Aineistomenot_paaluokat"/>
    <hyperlink ref="A19" location="Aineistomenot_kaikki_luokat" display="Aineistomenot_kaikki_luokat"/>
    <hyperlink ref="C17" location="Rahoituslahteet" display="Rahoituslahteet"/>
    <hyperlink ref="C18" location="Projektirahoitus" display="Projektirahoitus"/>
    <hyperlink ref="A16" location="Talous" display="Talous"/>
    <hyperlink ref="A20" location="Henkilosto" display="Henkilosto"/>
    <hyperlink ref="A21" location="Henkilosto_rahoituslahteet" display="Henkilosto_rahoituslahteet"/>
    <hyperlink ref="A22" location="Henkilosto_ammatillisuus" display="Henkilosto_ammatillisuus"/>
    <hyperlink ref="A23" location="Henkilostokoulutus" display="Henkilostokoulutus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MK616"/>
  <sheetViews>
    <sheetView zoomScale="120" zoomScaleNormal="120" workbookViewId="0"/>
  </sheetViews>
  <sheetFormatPr defaultColWidth="8" defaultRowHeight="11.25" x14ac:dyDescent="0.2"/>
  <cols>
    <col min="1" max="1" width="40.28515625" style="114" customWidth="1"/>
    <col min="2" max="2" width="38.7109375" style="114" customWidth="1"/>
    <col min="3" max="3" width="8.5703125" style="114" customWidth="1"/>
    <col min="4" max="5" width="10.140625" style="114" customWidth="1"/>
    <col min="6" max="15" width="8.5703125" style="114" customWidth="1"/>
    <col min="16" max="16" width="8.7109375" style="114" customWidth="1"/>
    <col min="17" max="23" width="8" style="114"/>
    <col min="24" max="24" width="9" style="114" customWidth="1"/>
    <col min="25" max="1025" width="8" style="114"/>
    <col min="1026" max="16384" width="8" style="115"/>
  </cols>
  <sheetData>
    <row r="1" spans="1:23" x14ac:dyDescent="0.2">
      <c r="A1" s="113" t="str">
        <f ca="1">"Olet taulussa / Du är i tabellen "&amp;MID(CELL("filename",A1),FIND("]",CELL("filename",A1))+1,255)</f>
        <v>Olet taulussa / Du är i tabellen Asetukset</v>
      </c>
      <c r="B1" s="113"/>
      <c r="C1" s="114" t="str">
        <f ca="1" xml:space="preserve"> MID(CELL("filename",C1),FIND("]",CELL("filename",C1))+1,255)</f>
        <v>Asetukset</v>
      </c>
    </row>
    <row r="2" spans="1:23" x14ac:dyDescent="0.2">
      <c r="A2" s="114" t="s">
        <v>3</v>
      </c>
      <c r="L2" s="116" t="str">
        <f>IF(Kielivalinta="","",IF(Kielivalinta="Suomi","Ristiintaulukointi",IF(Kielivalinta="Svenska","Korstabulering")))</f>
        <v/>
      </c>
    </row>
    <row r="3" spans="1:23" x14ac:dyDescent="0.2">
      <c r="A3" s="114" t="s">
        <v>0</v>
      </c>
      <c r="B3" s="116" t="s">
        <v>1266</v>
      </c>
      <c r="L3" s="114" t="s">
        <v>667</v>
      </c>
    </row>
    <row r="4" spans="1:23" x14ac:dyDescent="0.2">
      <c r="A4" s="114" t="s">
        <v>1</v>
      </c>
      <c r="B4" s="117" t="s">
        <v>1267</v>
      </c>
      <c r="M4" s="118" t="str">
        <f>RIGHT(Data!$B$3,4)</f>
        <v/>
      </c>
      <c r="N4" s="118" t="str">
        <f>RIGHT(Data!$C$3,4)</f>
        <v/>
      </c>
    </row>
    <row r="5" spans="1:23" x14ac:dyDescent="0.2">
      <c r="A5" s="113" t="s">
        <v>0</v>
      </c>
      <c r="B5" s="113" t="s">
        <v>1</v>
      </c>
      <c r="C5" s="115"/>
      <c r="D5" s="114">
        <f>Data!$B$3</f>
        <v>0</v>
      </c>
      <c r="E5" s="114">
        <f>Data!$C$3</f>
        <v>0</v>
      </c>
      <c r="F5" s="119"/>
      <c r="L5" s="120" t="str">
        <f>IF(Kielivalinta="Suomi",A451,IF(Kielivalinta="Svenska",B451,""))</f>
        <v/>
      </c>
      <c r="M5" s="121">
        <f>_xlfn.IFNA(VLOOKUP($L5,Data!$A$2:$C$612,2,FALSE),0)</f>
        <v>0</v>
      </c>
      <c r="N5" s="121">
        <f>_xlfn.IFNA(VLOOKUP($L5,Data!$A$2:$C$612,3,FALSE),0)</f>
        <v>0</v>
      </c>
    </row>
    <row r="6" spans="1:23" x14ac:dyDescent="0.2">
      <c r="A6" s="122" t="s">
        <v>59</v>
      </c>
      <c r="B6" s="122" t="s">
        <v>669</v>
      </c>
      <c r="C6" s="115"/>
      <c r="D6" s="123" t="str">
        <f>IF(Kielivalinta="","",IF(Kielivalinta="Suomi",_xlfn.IFNA(VLOOKUP($A6,Data!$A$2:$C$612,2,FALSE),0),IF(Kielivalinta="Svenska",_xlfn.IFNA(VLOOKUP($B6,Data!$A$2:$C$612,2,FALSE),0))))</f>
        <v/>
      </c>
      <c r="E6" s="123" t="str">
        <f>IF(Kielivalinta="","",IF(Kielivalinta="Suomi",_xlfn.IFNA(VLOOKUP($A6,Data!$A$2:$C$612,3,FALSE),0),IF(Kielivalinta="Svenska",_xlfn.IFNA(VLOOKUP($B6,Data!$A$2:$C$612,3,FALSE),0))))</f>
        <v/>
      </c>
      <c r="F6" s="119"/>
      <c r="G6" s="119"/>
      <c r="L6" s="120" t="str">
        <f>IF(Kielivalinta="Suomi",A452,IF(Kielivalinta="Svenska",B452,""))</f>
        <v/>
      </c>
      <c r="M6" s="121">
        <f>_xlfn.IFNA(VLOOKUP($L6,Data!$A$2:$C$612,2,FALSE),0)</f>
        <v>0</v>
      </c>
      <c r="N6" s="121">
        <f>_xlfn.IFNA(VLOOKUP($L6,Data!$A$2:$C$612,3,FALSE),0)</f>
        <v>0</v>
      </c>
      <c r="Q6" s="122"/>
      <c r="R6" s="119"/>
      <c r="S6" s="119"/>
      <c r="T6" s="119"/>
      <c r="U6" s="119"/>
      <c r="V6" s="119"/>
      <c r="W6" s="119"/>
    </row>
    <row r="7" spans="1:23" x14ac:dyDescent="0.2">
      <c r="A7" s="122" t="s">
        <v>60</v>
      </c>
      <c r="B7" s="122" t="s">
        <v>670</v>
      </c>
      <c r="C7" s="115"/>
      <c r="D7" s="123" t="str">
        <f>IF(Kielivalinta="","",IF(Kielivalinta="Suomi",_xlfn.IFNA(VLOOKUP($A7,Data!$A$2:$C$612,2,FALSE),0),IF(Kielivalinta="Svenska",_xlfn.IFNA(VLOOKUP($B7,Data!$A$2:$C$612,2,FALSE),0))))</f>
        <v/>
      </c>
      <c r="E7" s="123" t="str">
        <f>IF(Kielivalinta="","",IF(Kielivalinta="Suomi",_xlfn.IFNA(VLOOKUP($A7,Data!$A$2:$C$612,3,FALSE),0),IF(Kielivalinta="Svenska",_xlfn.IFNA(VLOOKUP($B7,Data!$A$2:$C$612,3,FALSE),0))))</f>
        <v/>
      </c>
      <c r="F7" s="119"/>
      <c r="G7" s="119"/>
      <c r="L7" s="120" t="str">
        <f>IF(Kielivalinta="Suomi",A453,IF(Kielivalinta="Svenska",B453,""))</f>
        <v/>
      </c>
      <c r="M7" s="121">
        <f>_xlfn.IFNA(VLOOKUP($L7,Data!$A$2:$C$612,2,FALSE),0)</f>
        <v>0</v>
      </c>
      <c r="N7" s="121">
        <f>_xlfn.IFNA(VLOOKUP($L7,Data!$A$2:$C$612,3,FALSE),0)</f>
        <v>0</v>
      </c>
      <c r="Q7" s="122"/>
      <c r="R7" s="119"/>
      <c r="S7" s="119"/>
      <c r="T7" s="119"/>
      <c r="U7" s="119"/>
      <c r="V7" s="119"/>
      <c r="W7" s="119"/>
    </row>
    <row r="8" spans="1:23" x14ac:dyDescent="0.2">
      <c r="A8" s="122" t="s">
        <v>61</v>
      </c>
      <c r="B8" s="122" t="s">
        <v>671</v>
      </c>
      <c r="C8" s="115"/>
      <c r="D8" s="123" t="str">
        <f>IF(Kielivalinta="","",IF(Kielivalinta="Suomi",_xlfn.IFNA(VLOOKUP($A8,Data!$A$2:$C$612,2,FALSE),0),IF(Kielivalinta="Svenska",_xlfn.IFNA(VLOOKUP($B8,Data!$A$2:$C$612,2,FALSE),0))))</f>
        <v/>
      </c>
      <c r="E8" s="123" t="str">
        <f>IF(Kielivalinta="","",IF(Kielivalinta="Suomi",_xlfn.IFNA(VLOOKUP($A8,Data!$A$2:$C$612,3,FALSE),0),IF(Kielivalinta="Svenska",_xlfn.IFNA(VLOOKUP($B8,Data!$A$2:$C$612,3,FALSE),0))))</f>
        <v/>
      </c>
      <c r="F8" s="119"/>
      <c r="G8" s="119"/>
      <c r="L8" s="120" t="str">
        <f>IF(Kielivalinta="Suomi",A454,IF(Kielivalinta="Svenska",B454,""))</f>
        <v/>
      </c>
      <c r="M8" s="121">
        <f>_xlfn.IFNA(VLOOKUP($L8,Data!$A$2:$C$612,2,FALSE),0)</f>
        <v>0</v>
      </c>
      <c r="N8" s="121">
        <f>_xlfn.IFNA(VLOOKUP($L8,Data!$A$2:$C$612,3,FALSE),0)</f>
        <v>0</v>
      </c>
      <c r="Q8" s="122"/>
      <c r="R8" s="119"/>
      <c r="S8" s="119"/>
      <c r="T8" s="119"/>
      <c r="U8" s="119"/>
      <c r="V8" s="119"/>
      <c r="W8" s="119"/>
    </row>
    <row r="9" spans="1:23" x14ac:dyDescent="0.2">
      <c r="A9" s="119" t="s">
        <v>62</v>
      </c>
      <c r="B9" s="119" t="s">
        <v>1039</v>
      </c>
      <c r="C9" s="115"/>
      <c r="D9" s="123" t="str">
        <f>IF(Kielivalinta="","",IF(Kielivalinta="Suomi",_xlfn.IFNA(VLOOKUP($A9,Data!$A$2:$C$612,2,FALSE),0),IF(Kielivalinta="Svenska",_xlfn.IFNA(VLOOKUP($B9,Data!$A$2:$C$612,2,FALSE),0))))</f>
        <v/>
      </c>
      <c r="E9" s="123" t="str">
        <f>IF(Kielivalinta="","",IF(Kielivalinta="Suomi",_xlfn.IFNA(VLOOKUP($A9,Data!$A$2:$C$612,3,FALSE),0),IF(Kielivalinta="Svenska",_xlfn.IFNA(VLOOKUP($B9,Data!$A$2:$C$612,3,FALSE),0))))</f>
        <v/>
      </c>
      <c r="F9" s="119"/>
      <c r="G9" s="119"/>
      <c r="L9" s="120" t="str">
        <f>IF(Kielivalinta="Suomi",A455,IF(Kielivalinta="Svenska",B455,""))</f>
        <v/>
      </c>
      <c r="M9" s="121">
        <f>_xlfn.IFNA(VLOOKUP($L9,Data!$A$2:$C$612,2,FALSE),0)</f>
        <v>0</v>
      </c>
      <c r="N9" s="121">
        <f>_xlfn.IFNA(VLOOKUP($L9,Data!$A$2:$C$612,3,FALSE),0)</f>
        <v>0</v>
      </c>
      <c r="Q9" s="119"/>
      <c r="R9" s="119"/>
      <c r="S9" s="119"/>
      <c r="T9" s="119"/>
      <c r="U9" s="119"/>
      <c r="V9" s="119"/>
      <c r="W9" s="119"/>
    </row>
    <row r="10" spans="1:23" x14ac:dyDescent="0.2">
      <c r="A10" s="122" t="s">
        <v>63</v>
      </c>
      <c r="B10" s="122" t="s">
        <v>672</v>
      </c>
      <c r="C10" s="115"/>
      <c r="D10" s="123" t="str">
        <f>IF(Kielivalinta="","",IF(Kielivalinta="Suomi",_xlfn.IFNA(VLOOKUP($A10,Data!$A$2:$C$612,2,FALSE),0),IF(Kielivalinta="Svenska",_xlfn.IFNA(VLOOKUP($B10,Data!$A$2:$C$612,2,FALSE),0))))</f>
        <v/>
      </c>
      <c r="E10" s="123" t="str">
        <f>IF(Kielivalinta="","",IF(Kielivalinta="Suomi",_xlfn.IFNA(VLOOKUP($A10,Data!$A$2:$C$612,3,FALSE),0),IF(Kielivalinta="Svenska",_xlfn.IFNA(VLOOKUP($B10,Data!$A$2:$C$612,3,FALSE),0))))</f>
        <v/>
      </c>
      <c r="F10" s="119"/>
      <c r="G10" s="119"/>
      <c r="L10" s="124" t="str">
        <f>IF(Kielivalinta="","",IF(Kielivalinta="Suomi","Kirjastonkäytön opetuksen osanottajamäärän pääluvun tarkistus:",IF(Kielivalinta="Svenska","Granskningen av deltagarantalet till undervisning i biblioteksanvändning")))</f>
        <v/>
      </c>
      <c r="M10" s="125" t="str">
        <f>IF(Kielivalinta="","",IF(M6-INT(M6)&gt;0,IF(Kielivalinta="Suomi","Huom: Opetukseen osallistuneitten määrä (pääluku!) ei voi olla desimaaliluku",IF(Kielivalinta="Svenska","Obs: Deltagarantalet i undervisningen (antal personer!) kan inte vara decimaltal")),"ok"))</f>
        <v/>
      </c>
      <c r="N10" s="125" t="str">
        <f>IF(Kielivalinta="","",IF(N6-INT(N6)&gt;0,IF(Kielivalinta="Suomi","Huom: Opetukseen osallistuneitten määrä (pääluku!) ei voi olla desimaaliluku",IF(Kielivalinta="Svenska","Obs: Deltagarantalet i undervisningen (antal personer!) kan inte vara decimaltal")),"ok"))</f>
        <v/>
      </c>
      <c r="Q10" s="122"/>
      <c r="R10" s="119"/>
      <c r="S10" s="119"/>
      <c r="T10" s="119"/>
      <c r="U10" s="119"/>
      <c r="V10" s="119"/>
      <c r="W10" s="119"/>
    </row>
    <row r="11" spans="1:23" x14ac:dyDescent="0.2">
      <c r="A11" s="122" t="s">
        <v>64</v>
      </c>
      <c r="B11" s="122" t="s">
        <v>673</v>
      </c>
      <c r="C11" s="115"/>
      <c r="D11" s="123" t="str">
        <f>IF(Kielivalinta="","",IF(Kielivalinta="Suomi",_xlfn.IFNA(VLOOKUP($A11,Data!$A$2:$C$612,2,FALSE),0),IF(Kielivalinta="Svenska",_xlfn.IFNA(VLOOKUP($B11,Data!$A$2:$C$612,2,FALSE),0))))</f>
        <v/>
      </c>
      <c r="E11" s="123" t="str">
        <f>IF(Kielivalinta="","",IF(Kielivalinta="Suomi",_xlfn.IFNA(VLOOKUP($A11,Data!$A$2:$C$612,3,FALSE),0),IF(Kielivalinta="Svenska",_xlfn.IFNA(VLOOKUP($B11,Data!$A$2:$C$612,3,FALSE),0))))</f>
        <v/>
      </c>
      <c r="F11" s="119"/>
      <c r="G11" s="119"/>
      <c r="L11" s="124" t="str">
        <f>IF(Kielivalinta="","",IF(Kielivalinta="Suomi","Verkkokurssin suorittaneitten pääluvun tarkistus:",IF(Kielivalinta="Svenska","Granskningen av deltagarantalet till nätkurserna")))</f>
        <v/>
      </c>
      <c r="M11" s="125" t="str">
        <f>IF(Kielivalinta="","",IF(M9-INT(M9)&gt;0,IF(Kielivalinta="Suomi","Huom: Verkkokurssin suorittaneitten määrä (pääluku!) ei voi olla desimaaliluku",IF(Kielivalinta="Svenska","Obs: Deltagarantalet i nätkurserna (antal personer!) kan inte vara decimaltal")),"ok"))</f>
        <v/>
      </c>
      <c r="N11" s="125" t="str">
        <f>IF(Kielivalinta="","",IF(N9-INT(N9)&gt;0,IF(Kielivalinta="Suomi","Huom: Verkkokurssin suorittaneitten määrä (pääluku!) ei voi olla desimaaliluku",IF(Kielivalinta="Svenska","Obs: Deltagarantalet i nätkurserna (antal personer!) kan inte vara decimaltal")),"ok"))</f>
        <v/>
      </c>
      <c r="Q11" s="122"/>
      <c r="R11" s="119"/>
      <c r="S11" s="119"/>
      <c r="T11" s="119"/>
      <c r="U11" s="119"/>
      <c r="V11" s="119"/>
      <c r="W11" s="119"/>
    </row>
    <row r="12" spans="1:23" x14ac:dyDescent="0.2">
      <c r="A12" s="122" t="s">
        <v>65</v>
      </c>
      <c r="B12" s="122" t="s">
        <v>674</v>
      </c>
      <c r="C12" s="115"/>
      <c r="D12" s="123" t="str">
        <f>IF(Kielivalinta="","",IF(Kielivalinta="Suomi",_xlfn.IFNA(VLOOKUP($A12,Data!$A$2:$C$612,2,FALSE),0),IF(Kielivalinta="Svenska",_xlfn.IFNA(VLOOKUP($B12,Data!$A$2:$C$612,2,FALSE),0))))</f>
        <v/>
      </c>
      <c r="E12" s="123" t="str">
        <f>IF(Kielivalinta="","",IF(Kielivalinta="Suomi",_xlfn.IFNA(VLOOKUP($A12,Data!$A$2:$C$612,3,FALSE),0),IF(Kielivalinta="Svenska",_xlfn.IFNA(VLOOKUP($B12,Data!$A$2:$C$612,3,FALSE),0))))</f>
        <v/>
      </c>
      <c r="F12" s="119"/>
      <c r="G12" s="119"/>
      <c r="Q12" s="122"/>
      <c r="R12" s="119"/>
      <c r="S12" s="119"/>
      <c r="T12" s="119"/>
      <c r="U12" s="119"/>
      <c r="V12" s="119"/>
      <c r="W12" s="119"/>
    </row>
    <row r="13" spans="1:23" x14ac:dyDescent="0.2">
      <c r="A13" s="122" t="s">
        <v>620</v>
      </c>
      <c r="B13" s="122" t="s">
        <v>675</v>
      </c>
      <c r="C13" s="115"/>
      <c r="D13" s="123" t="str">
        <f>IF(Kielivalinta="","",IF(Kielivalinta="Suomi",_xlfn.IFNA(VLOOKUP($A13,Data!$A$2:$C$612,2,FALSE),0),IF(Kielivalinta="Svenska",_xlfn.IFNA(VLOOKUP($B13,Data!$A$2:$C$612,2,FALSE),0))))</f>
        <v/>
      </c>
      <c r="E13" s="123" t="str">
        <f>IF(Kielivalinta="","",IF(Kielivalinta="Suomi",_xlfn.IFNA(VLOOKUP($A13,Data!$A$2:$C$612,3,FALSE),0),IF(Kielivalinta="Svenska",_xlfn.IFNA(VLOOKUP($B13,Data!$A$2:$C$612,3,FALSE),0))))</f>
        <v/>
      </c>
      <c r="F13" s="119"/>
      <c r="G13" s="119"/>
      <c r="Q13" s="122"/>
      <c r="R13" s="119"/>
      <c r="S13" s="119"/>
      <c r="T13" s="119"/>
      <c r="U13" s="119"/>
      <c r="V13" s="119"/>
      <c r="W13" s="119"/>
    </row>
    <row r="14" spans="1:23" x14ac:dyDescent="0.2">
      <c r="A14" s="122" t="s">
        <v>66</v>
      </c>
      <c r="B14" s="122" t="s">
        <v>676</v>
      </c>
      <c r="C14" s="115"/>
      <c r="D14" s="123" t="str">
        <f>IF(Kielivalinta="","",IF(Kielivalinta="Suomi",_xlfn.IFNA(VLOOKUP($A14,Data!$A$2:$C$612,2,FALSE),0),IF(Kielivalinta="Svenska",_xlfn.IFNA(VLOOKUP($B14,Data!$A$2:$C$612,2,FALSE),0))))</f>
        <v/>
      </c>
      <c r="E14" s="123" t="str">
        <f>IF(Kielivalinta="","",IF(Kielivalinta="Suomi",_xlfn.IFNA(VLOOKUP($A14,Data!$A$2:$C$612,3,FALSE),0),IF(Kielivalinta="Svenska",_xlfn.IFNA(VLOOKUP($B14,Data!$A$2:$C$612,3,FALSE),0))))</f>
        <v/>
      </c>
      <c r="F14" s="119"/>
      <c r="G14" s="119"/>
      <c r="L14" s="120" t="str">
        <f>IF(Kielivalinta="Suomi",A494,IF(Kielivalinta="Svenska",B494,""))</f>
        <v/>
      </c>
      <c r="M14" s="121">
        <f>_xlfn.IFNA(VLOOKUP($L14,Data!$A$2:$C$612,2,FALSE),0)</f>
        <v>0</v>
      </c>
      <c r="N14" s="121">
        <f>_xlfn.IFNA(VLOOKUP($L14,Data!$A$2:$C$612,3,FALSE),0)</f>
        <v>0</v>
      </c>
      <c r="Q14" s="122"/>
      <c r="R14" s="119"/>
      <c r="S14" s="119"/>
      <c r="T14" s="119"/>
      <c r="U14" s="119"/>
      <c r="V14" s="119"/>
      <c r="W14" s="119"/>
    </row>
    <row r="15" spans="1:23" x14ac:dyDescent="0.2">
      <c r="A15" s="122" t="s">
        <v>67</v>
      </c>
      <c r="B15" s="122" t="s">
        <v>677</v>
      </c>
      <c r="C15" s="115"/>
      <c r="D15" s="123" t="str">
        <f>IF(Kielivalinta="","",IF(Kielivalinta="Suomi",_xlfn.IFNA(VLOOKUP($A15,Data!$A$2:$C$612,2,FALSE),0),IF(Kielivalinta="Svenska",_xlfn.IFNA(VLOOKUP($B15,Data!$A$2:$C$612,2,FALSE),0))))</f>
        <v/>
      </c>
      <c r="E15" s="123" t="str">
        <f>IF(Kielivalinta="","",IF(Kielivalinta="Suomi",_xlfn.IFNA(VLOOKUP($A15,Data!$A$2:$C$612,3,FALSE),0),IF(Kielivalinta="Svenska",_xlfn.IFNA(VLOOKUP($B15,Data!$A$2:$C$612,3,FALSE),0))))</f>
        <v/>
      </c>
      <c r="F15" s="119"/>
      <c r="G15" s="119"/>
      <c r="L15" s="120" t="str">
        <f>IF(Kielivalinta="Suomi",A572,IF(Kielivalinta="Svenska",B572,""))</f>
        <v/>
      </c>
      <c r="M15" s="121">
        <f>_xlfn.IFNA(VLOOKUP($L15,Data!$A$2:$C$612,2,FALSE),0)</f>
        <v>0</v>
      </c>
      <c r="N15" s="121">
        <f>_xlfn.IFNA(VLOOKUP($L15,Data!$A$2:$C$612,3,FALSE),0)</f>
        <v>0</v>
      </c>
      <c r="Q15" s="122"/>
      <c r="R15" s="119"/>
      <c r="S15" s="119"/>
      <c r="T15" s="119"/>
      <c r="U15" s="119"/>
      <c r="V15" s="119"/>
      <c r="W15" s="119"/>
    </row>
    <row r="16" spans="1:23" x14ac:dyDescent="0.2">
      <c r="A16" s="122" t="s">
        <v>68</v>
      </c>
      <c r="B16" s="122" t="s">
        <v>678</v>
      </c>
      <c r="C16" s="115"/>
      <c r="D16" s="123" t="str">
        <f>IF(Kielivalinta="","",IF(Kielivalinta="Suomi",_xlfn.IFNA(VLOOKUP($A16,Data!$A$2:$C$612,2,FALSE),0),IF(Kielivalinta="Svenska",_xlfn.IFNA(VLOOKUP($B16,Data!$A$2:$C$612,2,FALSE),0))))</f>
        <v/>
      </c>
      <c r="E16" s="123" t="str">
        <f>IF(Kielivalinta="","",IF(Kielivalinta="Suomi",_xlfn.IFNA(VLOOKUP($A16,Data!$A$2:$C$612,3,FALSE),0),IF(Kielivalinta="Svenska",_xlfn.IFNA(VLOOKUP($B16,Data!$A$2:$C$612,3,FALSE),0))))</f>
        <v/>
      </c>
      <c r="F16" s="119"/>
      <c r="G16" s="119"/>
      <c r="L16" s="120" t="str">
        <f>IF(Kielivalinta="Suomi",A573,IF(Kielivalinta="Svenska",B573,""))</f>
        <v/>
      </c>
      <c r="M16" s="121">
        <f>_xlfn.IFNA(VLOOKUP($L16,Data!$A$2:$C$612,2,FALSE),0)</f>
        <v>0</v>
      </c>
      <c r="N16" s="121">
        <f>_xlfn.IFNA(VLOOKUP($L16,Data!$A$2:$C$612,3,FALSE),0)</f>
        <v>0</v>
      </c>
      <c r="Q16" s="122"/>
      <c r="R16" s="119"/>
      <c r="S16" s="119"/>
      <c r="T16" s="119"/>
      <c r="U16" s="119"/>
      <c r="V16" s="119"/>
      <c r="W16" s="119"/>
    </row>
    <row r="17" spans="1:23" x14ac:dyDescent="0.2">
      <c r="A17" s="122" t="s">
        <v>69</v>
      </c>
      <c r="B17" s="122" t="s">
        <v>679</v>
      </c>
      <c r="C17" s="115"/>
      <c r="D17" s="123" t="str">
        <f>IF(Kielivalinta="","",IF(Kielivalinta="Suomi",_xlfn.IFNA(VLOOKUP($A17,Data!$A$2:$C$612,2,FALSE),0),IF(Kielivalinta="Svenska",_xlfn.IFNA(VLOOKUP($B17,Data!$A$2:$C$612,2,FALSE),0))))</f>
        <v/>
      </c>
      <c r="E17" s="123" t="str">
        <f>IF(Kielivalinta="","",IF(Kielivalinta="Suomi",_xlfn.IFNA(VLOOKUP($A17,Data!$A$2:$C$612,3,FALSE),0),IF(Kielivalinta="Svenska",_xlfn.IFNA(VLOOKUP($B17,Data!$A$2:$C$612,3,FALSE),0))))</f>
        <v/>
      </c>
      <c r="F17" s="119"/>
      <c r="G17" s="119"/>
      <c r="L17" s="124" t="str">
        <f>IF(Kielivalinta="","",IF(Kielivalinta="Suomi","Henkilöstön koulutusmenot vs. koulutuspäivät",IF(Kielivalinta="Svenska","Personalutbildningskostnader vs. utbildningsdagar")))</f>
        <v/>
      </c>
      <c r="M17" s="126" t="str">
        <f>IF(Kielivalinta="","",IF(M$14&gt;0,IF(M15&gt;0,"ok",IF(Kielivalinta="Suomi","Henkilöstökoulutusmenoja ilmoitettu "&amp;M$14&amp;" € x 1 000 - Tarkista koulutuspäivien määrä",IF(Kielivalinta="Svenska","Du har anmält personalutbildningsutgifter "&amp;M$14&amp;" € x 1 000 - Granska antalet utbildningsdagar")))))</f>
        <v/>
      </c>
      <c r="N17" s="126" t="str">
        <f>IF(Kielivalinta="","",IF(N$14&gt;0,IF(N15&gt;0,"ok",IF(Kielivalinta="Suomi","Henkilöstökoulutusmenoja ilmoitettu "&amp;N$14&amp;" € x 1 000 - Tarkista koulutuspäivien määrä",IF(Kielivalinta="Svenska","Du har anmält personalutbildningsutgifter "&amp;N$14&amp;" € x 1 000 - Granska antalet utbildningsdagar")))))</f>
        <v/>
      </c>
      <c r="Q17" s="122"/>
      <c r="R17" s="119"/>
      <c r="S17" s="119"/>
      <c r="T17" s="119"/>
      <c r="U17" s="119"/>
      <c r="V17" s="119"/>
      <c r="W17" s="119"/>
    </row>
    <row r="18" spans="1:23" x14ac:dyDescent="0.2">
      <c r="A18" s="122" t="s">
        <v>621</v>
      </c>
      <c r="B18" s="122" t="s">
        <v>680</v>
      </c>
      <c r="C18" s="115"/>
      <c r="D18" s="123" t="str">
        <f>IF(Kielivalinta="","",IF(Kielivalinta="Suomi",_xlfn.IFNA(VLOOKUP($A18,Data!$A$2:$C$612,2,FALSE),0),IF(Kielivalinta="Svenska",_xlfn.IFNA(VLOOKUP($B18,Data!$A$2:$C$612,2,FALSE),0))))</f>
        <v/>
      </c>
      <c r="E18" s="123" t="str">
        <f>IF(Kielivalinta="","",IF(Kielivalinta="Suomi",_xlfn.IFNA(VLOOKUP($A18,Data!$A$2:$C$612,3,FALSE),0),IF(Kielivalinta="Svenska",_xlfn.IFNA(VLOOKUP($B18,Data!$A$2:$C$612,3,FALSE),0))))</f>
        <v/>
      </c>
      <c r="F18" s="119"/>
      <c r="G18" s="119"/>
      <c r="L18" s="124" t="str">
        <f>IF(Kielivalinta="","",IF(Kielivalinta="Suomi","Henkilöstön koulutusmenot vs. koulutuksessa olleet",IF(Kielivalinta="Svenska","Personalutbildningskostnader vs. personantal utbildad")))</f>
        <v/>
      </c>
      <c r="M18" s="126" t="str">
        <f>IF(Kielivalinta="","",IF(M$14&gt;0,IF(M16&gt;0,"ok",IF(Kielivalinta="Suomi","Henkilöstökoulutusmenoja ilmoitettu "&amp;M$14&amp;" € x 1 000 - Tarkista koulutukseen osalllistuneitten määrä",IF(Kielivalinta="Svenska","Du har anmält personalutbildningsutgifter "&amp;M$14&amp;" € x 1 000 - Granska antalet personal som utbildats")))))</f>
        <v/>
      </c>
      <c r="N18" s="126" t="str">
        <f>IF(Kielivalinta="","",IF(N$14&gt;0,IF(N16&gt;0,"ok",IF(Kielivalinta="Suomi","Henkilöstökoulutusmenoja ilmoitettu "&amp;N$14&amp;" € x 1 000 - Tarkista koulutukseen osalllistuneitten määrä",IF(Kielivalinta="Svenska","Du har anmält personalutbildningsutgifter "&amp;N$14&amp;" € x 1 000 - Granska antalet personal som utbildats")))))</f>
        <v/>
      </c>
      <c r="Q18" s="122"/>
      <c r="R18" s="119"/>
      <c r="S18" s="119"/>
      <c r="T18" s="119"/>
      <c r="U18" s="119"/>
      <c r="V18" s="119"/>
      <c r="W18" s="119"/>
    </row>
    <row r="19" spans="1:23" x14ac:dyDescent="0.2">
      <c r="A19" s="122" t="s">
        <v>70</v>
      </c>
      <c r="B19" s="122" t="s">
        <v>681</v>
      </c>
      <c r="C19" s="115"/>
      <c r="D19" s="123" t="str">
        <f>IF(Kielivalinta="","",IF(Kielivalinta="Suomi",_xlfn.IFNA(VLOOKUP($A19,Data!$A$2:$C$612,2,FALSE),0),IF(Kielivalinta="Svenska",_xlfn.IFNA(VLOOKUP($B19,Data!$A$2:$C$612,2,FALSE),0))))</f>
        <v/>
      </c>
      <c r="E19" s="123" t="str">
        <f>IF(Kielivalinta="","",IF(Kielivalinta="Suomi",_xlfn.IFNA(VLOOKUP($A19,Data!$A$2:$C$612,3,FALSE),0),IF(Kielivalinta="Svenska",_xlfn.IFNA(VLOOKUP($B19,Data!$A$2:$C$612,3,FALSE),0))))</f>
        <v/>
      </c>
      <c r="F19" s="119"/>
      <c r="G19" s="119"/>
      <c r="L19" s="124" t="str">
        <f>IF(Kielivalinta="","",IF(Kielivalinta="Suomi","Henkilöstökoulutuksessa olleitten pääluvun tarkistus",IF(Kielivalinta="Svenska","Granskningen av deltagarantalet till personalutbildning")))</f>
        <v/>
      </c>
      <c r="M19" s="127" t="str">
        <f>IF(Kielivalinta="","",IF(M16-INT(M16)&gt;0,IF(Kielivalinta="Suomi","Huom: Henkilöstön määrä vuoden lopussa  (pääluku!) ei voi olla desimaaliluku",IF(Kielivalinta="Svenska","Obs: deltagarantalet (antal personer!) till personalutbildning kan inte vara decimaltal")),"ok"))</f>
        <v/>
      </c>
      <c r="N19" s="127" t="str">
        <f>IF(Kielivalinta="","",IF(N16-INT(N16)&gt;0,IF(Kielivalinta="Suomi","Huom: Henkilöstön määrä vuoden lopussa  (pääluku!) ei voi olla desimaaliluku",IF(Kielivalinta="Svenska","Obs: deltagarantalet (antal personer!) till personalutbildning kan inte vara decimaltal")),"ok"))</f>
        <v/>
      </c>
      <c r="Q19" s="122"/>
      <c r="R19" s="119"/>
      <c r="S19" s="119"/>
      <c r="T19" s="119"/>
      <c r="U19" s="119"/>
      <c r="V19" s="119"/>
      <c r="W19" s="119"/>
    </row>
    <row r="20" spans="1:23" x14ac:dyDescent="0.2">
      <c r="A20" s="122" t="s">
        <v>71</v>
      </c>
      <c r="B20" s="122" t="s">
        <v>682</v>
      </c>
      <c r="C20" s="115"/>
      <c r="D20" s="123" t="str">
        <f>IF(Kielivalinta="","",IF(Kielivalinta="Suomi",_xlfn.IFNA(VLOOKUP($A20,Data!$A$2:$C$612,2,FALSE),0),IF(Kielivalinta="Svenska",_xlfn.IFNA(VLOOKUP($B20,Data!$A$2:$C$612,2,FALSE),0))))</f>
        <v/>
      </c>
      <c r="E20" s="123" t="str">
        <f>IF(Kielivalinta="","",IF(Kielivalinta="Suomi",_xlfn.IFNA(VLOOKUP($A20,Data!$A$2:$C$612,3,FALSE),0),IF(Kielivalinta="Svenska",_xlfn.IFNA(VLOOKUP($B20,Data!$A$2:$C$612,3,FALSE),0))))</f>
        <v/>
      </c>
      <c r="F20" s="119"/>
      <c r="G20" s="119"/>
      <c r="L20" s="124"/>
      <c r="Q20" s="122"/>
      <c r="R20" s="119"/>
      <c r="S20" s="119"/>
      <c r="T20" s="119"/>
      <c r="U20" s="119"/>
      <c r="V20" s="119"/>
      <c r="W20" s="119"/>
    </row>
    <row r="21" spans="1:23" x14ac:dyDescent="0.2">
      <c r="A21" s="122" t="s">
        <v>72</v>
      </c>
      <c r="B21" s="122" t="s">
        <v>683</v>
      </c>
      <c r="C21" s="115"/>
      <c r="D21" s="123" t="str">
        <f>IF(Kielivalinta="","",IF(Kielivalinta="Suomi",_xlfn.IFNA(VLOOKUP($A21,Data!$A$2:$C$612,2,FALSE),0),IF(Kielivalinta="Svenska",_xlfn.IFNA(VLOOKUP($B21,Data!$A$2:$C$612,2,FALSE),0))))</f>
        <v/>
      </c>
      <c r="E21" s="123" t="str">
        <f>IF(Kielivalinta="","",IF(Kielivalinta="Suomi",_xlfn.IFNA(VLOOKUP($A21,Data!$A$2:$C$612,3,FALSE),0),IF(Kielivalinta="Svenska",_xlfn.IFNA(VLOOKUP($B21,Data!$A$2:$C$612,3,FALSE),0))))</f>
        <v/>
      </c>
      <c r="F21" s="119"/>
      <c r="G21" s="119"/>
      <c r="Q21" s="122"/>
      <c r="R21" s="119"/>
      <c r="S21" s="119"/>
      <c r="T21" s="119"/>
      <c r="U21" s="119"/>
      <c r="V21" s="119"/>
      <c r="W21" s="119"/>
    </row>
    <row r="22" spans="1:23" x14ac:dyDescent="0.2">
      <c r="A22" s="122" t="s">
        <v>73</v>
      </c>
      <c r="B22" s="122" t="s">
        <v>684</v>
      </c>
      <c r="C22" s="115"/>
      <c r="D22" s="123" t="str">
        <f>IF(Kielivalinta="","",IF(Kielivalinta="Suomi",_xlfn.IFNA(VLOOKUP($A22,Data!$A$2:$C$612,2,FALSE),0),IF(Kielivalinta="Svenska",_xlfn.IFNA(VLOOKUP($B22,Data!$A$2:$C$612,2,FALSE),0))))</f>
        <v/>
      </c>
      <c r="E22" s="123" t="str">
        <f>IF(Kielivalinta="","",IF(Kielivalinta="Suomi",_xlfn.IFNA(VLOOKUP($A22,Data!$A$2:$C$612,3,FALSE),0),IF(Kielivalinta="Svenska",_xlfn.IFNA(VLOOKUP($B22,Data!$A$2:$C$612,3,FALSE),0))))</f>
        <v/>
      </c>
      <c r="F22" s="119"/>
      <c r="G22" s="119"/>
      <c r="L22" s="120" t="s">
        <v>666</v>
      </c>
      <c r="M22" s="118" t="str">
        <f>RIGHT(Data!$B$3,4)</f>
        <v/>
      </c>
      <c r="N22" s="118" t="str">
        <f>RIGHT(Data!$C$3,4)</f>
        <v/>
      </c>
      <c r="Q22" s="122"/>
      <c r="R22" s="119"/>
      <c r="S22" s="119"/>
      <c r="T22" s="119"/>
      <c r="U22" s="119"/>
      <c r="V22" s="119"/>
      <c r="W22" s="119"/>
    </row>
    <row r="23" spans="1:23" x14ac:dyDescent="0.2">
      <c r="A23" s="122" t="s">
        <v>74</v>
      </c>
      <c r="B23" s="122" t="s">
        <v>685</v>
      </c>
      <c r="C23" s="115"/>
      <c r="D23" s="123" t="str">
        <f>IF(Kielivalinta="","",IF(Kielivalinta="Suomi",_xlfn.IFNA(VLOOKUP($A23,Data!$A$2:$C$612,2,FALSE),0),IF(Kielivalinta="Svenska",_xlfn.IFNA(VLOOKUP($B23,Data!$A$2:$C$612,2,FALSE),0))))</f>
        <v/>
      </c>
      <c r="E23" s="123" t="str">
        <f>IF(Kielivalinta="","",IF(Kielivalinta="Suomi",_xlfn.IFNA(VLOOKUP($A23,Data!$A$2:$C$612,3,FALSE),0),IF(Kielivalinta="Svenska",_xlfn.IFNA(VLOOKUP($B23,Data!$A$2:$C$612,3,FALSE),0))))</f>
        <v/>
      </c>
      <c r="F23" s="119"/>
      <c r="G23" s="119"/>
      <c r="L23" s="124" t="str">
        <f>IF(Kielivalinta="","",IF(Kielivalinta="Suomi","Henkilöstön lukumäärä 31.12.",IF(Kielivalinta="Svenska","Personalens antal 31.12.")))</f>
        <v/>
      </c>
      <c r="M23" s="127" t="str">
        <f>IF(Kielivalinta="","",IF(D561-INT(D561)&gt;0,IF(Kielivalinta="Suomi","Huom: Henkilöstön määrä vuoden lopussa  (pääluku!) ei voi olla desimaaliluku",IF(Kielivalinta="Svenska","Obs: Personalens antal (antal personer!) i slutet av året kan inte vara decimaltal")),"ok"))</f>
        <v/>
      </c>
      <c r="N23" s="127" t="str">
        <f>IF(Kielivalinta="","",IF(E561-INT(E561)&gt;0,IF(Kielivalinta="Suomi","Huom: Henkilöstön määrä vuoden lopussa  (pääluku!) ei voi olla desimaaliluku",IF(Kielivalinta="Svenska","Obs: Personalens antal (antal personer!) i slutet av året kan inte vara decimaltal")),"ok"))</f>
        <v/>
      </c>
      <c r="Q23" s="122"/>
      <c r="R23" s="119"/>
      <c r="S23" s="119"/>
      <c r="T23" s="119"/>
      <c r="U23" s="119"/>
      <c r="V23" s="119"/>
      <c r="W23" s="119"/>
    </row>
    <row r="24" spans="1:23" x14ac:dyDescent="0.2">
      <c r="A24" s="122" t="s">
        <v>75</v>
      </c>
      <c r="B24" s="122" t="s">
        <v>686</v>
      </c>
      <c r="C24" s="115"/>
      <c r="D24" s="123" t="str">
        <f>IF(Kielivalinta="","",IF(Kielivalinta="Suomi",_xlfn.IFNA(VLOOKUP($A24,Data!$A$2:$C$612,2,FALSE),0),IF(Kielivalinta="Svenska",_xlfn.IFNA(VLOOKUP($B24,Data!$A$2:$C$612,2,FALSE),0))))</f>
        <v/>
      </c>
      <c r="E24" s="123" t="str">
        <f>IF(Kielivalinta="","",IF(Kielivalinta="Suomi",_xlfn.IFNA(VLOOKUP($A24,Data!$A$2:$C$612,3,FALSE),0),IF(Kielivalinta="Svenska",_xlfn.IFNA(VLOOKUP($B24,Data!$A$2:$C$612,3,FALSE),0))))</f>
        <v/>
      </c>
      <c r="F24" s="119"/>
      <c r="G24" s="119"/>
      <c r="L24" s="124" t="b">
        <f>IF(Kielivalinta="Suomi","F.1.2 Henkilötyövuodet (htv), josta",IF(Kielivalinta="Svenska","F.1.2 Årsverken (åv), varav"))</f>
        <v>0</v>
      </c>
      <c r="M24" s="128" t="str">
        <f>D562</f>
        <v/>
      </c>
      <c r="N24" s="128" t="str">
        <f>E562</f>
        <v/>
      </c>
      <c r="Q24" s="122"/>
      <c r="R24" s="119"/>
      <c r="S24" s="119"/>
      <c r="T24" s="119"/>
      <c r="U24" s="119"/>
      <c r="V24" s="119"/>
      <c r="W24" s="119"/>
    </row>
    <row r="25" spans="1:23" x14ac:dyDescent="0.2">
      <c r="A25" s="122" t="s">
        <v>76</v>
      </c>
      <c r="B25" s="122" t="s">
        <v>687</v>
      </c>
      <c r="C25" s="115"/>
      <c r="D25" s="123" t="str">
        <f>IF(Kielivalinta="","",IF(Kielivalinta="Suomi",_xlfn.IFNA(VLOOKUP($A25,Data!$A$2:$C$612,2,FALSE),0),IF(Kielivalinta="Svenska",_xlfn.IFNA(VLOOKUP($B25,Data!$A$2:$C$612,2,FALSE),0))))</f>
        <v/>
      </c>
      <c r="E25" s="123" t="str">
        <f>IF(Kielivalinta="","",IF(Kielivalinta="Suomi",_xlfn.IFNA(VLOOKUP($A25,Data!$A$2:$C$612,3,FALSE),0),IF(Kielivalinta="Svenska",_xlfn.IFNA(VLOOKUP($B25,Data!$A$2:$C$612,3,FALSE),0))))</f>
        <v/>
      </c>
      <c r="F25" s="119"/>
      <c r="G25" s="119"/>
      <c r="L25" s="124" t="b">
        <f>IF(Kielivalinta="Suomi","F.1.3 Henkilötyövuosista",IF(Kielivalinta="Svenska","F.1.3 Årsverken"))</f>
        <v>0</v>
      </c>
      <c r="M25" s="128" t="str">
        <f>D566</f>
        <v/>
      </c>
      <c r="N25" s="128" t="str">
        <f>E566</f>
        <v/>
      </c>
      <c r="Q25" s="122"/>
      <c r="R25" s="119"/>
      <c r="S25" s="119"/>
      <c r="T25" s="119"/>
      <c r="U25" s="119"/>
      <c r="V25" s="119"/>
      <c r="W25" s="119"/>
    </row>
    <row r="26" spans="1:23" x14ac:dyDescent="0.2">
      <c r="A26" s="122" t="s">
        <v>77</v>
      </c>
      <c r="B26" s="122" t="s">
        <v>688</v>
      </c>
      <c r="C26" s="115"/>
      <c r="D26" s="123" t="str">
        <f>IF(Kielivalinta="","",IF(Kielivalinta="Suomi",_xlfn.IFNA(VLOOKUP($A26,Data!$A$2:$C$612,2,FALSE),0),IF(Kielivalinta="Svenska",_xlfn.IFNA(VLOOKUP($B26,Data!$A$2:$C$612,2,FALSE),0))))</f>
        <v/>
      </c>
      <c r="E26" s="123" t="str">
        <f>IF(Kielivalinta="","",IF(Kielivalinta="Suomi",_xlfn.IFNA(VLOOKUP($A26,Data!$A$2:$C$612,3,FALSE),0),IF(Kielivalinta="Svenska",_xlfn.IFNA(VLOOKUP($B26,Data!$A$2:$C$612,3,FALSE),0))))</f>
        <v/>
      </c>
      <c r="F26" s="119"/>
      <c r="G26" s="119"/>
      <c r="L26" s="124" t="s">
        <v>47</v>
      </c>
      <c r="M26" s="129" t="str">
        <f>IFERROR(M24-M25,"")</f>
        <v/>
      </c>
      <c r="N26" s="129" t="str">
        <f>IFERROR(N24-N25,"")</f>
        <v/>
      </c>
      <c r="Q26" s="122"/>
      <c r="R26" s="119"/>
      <c r="S26" s="119"/>
      <c r="T26" s="119"/>
      <c r="U26" s="119"/>
      <c r="V26" s="119"/>
      <c r="W26" s="119"/>
    </row>
    <row r="27" spans="1:23" x14ac:dyDescent="0.2">
      <c r="A27" s="122" t="s">
        <v>78</v>
      </c>
      <c r="B27" s="122" t="s">
        <v>689</v>
      </c>
      <c r="C27" s="115"/>
      <c r="D27" s="123" t="str">
        <f>IF(Kielivalinta="","",IF(Kielivalinta="Suomi",_xlfn.IFNA(VLOOKUP($A27,Data!$A$2:$C$612,2,FALSE),0),IF(Kielivalinta="Svenska",_xlfn.IFNA(VLOOKUP($B27,Data!$A$2:$C$612,2,FALSE),0))))</f>
        <v/>
      </c>
      <c r="E27" s="123" t="str">
        <f>IF(Kielivalinta="","",IF(Kielivalinta="Suomi",_xlfn.IFNA(VLOOKUP($A27,Data!$A$2:$C$612,3,FALSE),0),IF(Kielivalinta="Svenska",_xlfn.IFNA(VLOOKUP($B27,Data!$A$2:$C$612,3,FALSE),0))))</f>
        <v/>
      </c>
      <c r="F27" s="119"/>
      <c r="G27" s="119"/>
      <c r="H27" s="119"/>
      <c r="I27" s="119"/>
      <c r="J27" s="119"/>
      <c r="L27" s="124" t="str">
        <f>IF(Kielivalinta="","",IF(Kielivalinta="Suomi","Henkilötyövuosien täsmäys",IF(Kielivalinta="Svenska","Avstämningen av årsverken")))</f>
        <v/>
      </c>
      <c r="M27" s="130" t="str">
        <f>IF(Kielivalinta="","",IF(Kielivalinta="Suomi",IF(M26&lt;&gt;0,"Htv-luku kohdissa "&amp;LEFT($L24,5)&amp;" ja "&amp;LEFT($L25,5)&amp;" ei täsmää","ok"),IF(Kielivalinta="Svenska",IF(M26&lt;&gt;0,"Årsverken i "&amp;LEFT($L24,5)&amp;" och "&amp;LEFT($L25,5)&amp;" stämmer inte","ok"))))</f>
        <v/>
      </c>
      <c r="Q27" s="122"/>
      <c r="R27" s="119"/>
      <c r="S27" s="119"/>
      <c r="T27" s="119"/>
      <c r="U27" s="119"/>
      <c r="V27" s="119"/>
      <c r="W27" s="119"/>
    </row>
    <row r="28" spans="1:23" x14ac:dyDescent="0.2">
      <c r="A28" s="122" t="s">
        <v>79</v>
      </c>
      <c r="B28" s="122" t="s">
        <v>690</v>
      </c>
      <c r="C28" s="115"/>
      <c r="D28" s="123" t="str">
        <f>IF(Kielivalinta="","",IF(Kielivalinta="Suomi",_xlfn.IFNA(VLOOKUP($A28,Data!$A$2:$C$612,2,FALSE),0),IF(Kielivalinta="Svenska",_xlfn.IFNA(VLOOKUP($B28,Data!$A$2:$C$612,2,FALSE),0))))</f>
        <v/>
      </c>
      <c r="E28" s="123" t="str">
        <f>IF(Kielivalinta="","",IF(Kielivalinta="Suomi",_xlfn.IFNA(VLOOKUP($A28,Data!$A$2:$C$612,3,FALSE),0),IF(Kielivalinta="Svenska",_xlfn.IFNA(VLOOKUP($B28,Data!$A$2:$C$612,3,FALSE),0))))</f>
        <v/>
      </c>
      <c r="F28" s="119"/>
      <c r="G28" s="119"/>
      <c r="H28" s="119"/>
      <c r="I28" s="119"/>
      <c r="J28" s="119"/>
      <c r="N28" s="130" t="str">
        <f>IF(Kielivalinta="","",IF(Kielivalinta="Suomi",IF(N26&lt;&gt;0,"Htv-luku kohdissa "&amp;LEFT($L24,5)&amp;" ja "&amp;LEFT($L25,5)&amp;" ei täsmää","ok"),IF(Kielivalinta="Svenska",IF(N26&lt;&gt;0,"Årsverken i "&amp;LEFT($L24,5)&amp;" och "&amp;LEFT($L25,5)&amp;" stämmer inte","ok"))))</f>
        <v/>
      </c>
      <c r="Q28" s="122"/>
      <c r="R28" s="119"/>
      <c r="S28" s="119"/>
      <c r="T28" s="119"/>
      <c r="U28" s="119"/>
      <c r="V28" s="119"/>
      <c r="W28" s="119"/>
    </row>
    <row r="29" spans="1:23" x14ac:dyDescent="0.2">
      <c r="A29" s="119" t="s">
        <v>80</v>
      </c>
      <c r="B29" s="119" t="s">
        <v>1040</v>
      </c>
      <c r="C29" s="115"/>
      <c r="D29" s="123" t="str">
        <f>IF(Kielivalinta="","",IF(Kielivalinta="Suomi",_xlfn.IFNA(VLOOKUP($A29,Data!$A$2:$C$612,2,FALSE),0),IF(Kielivalinta="Svenska",_xlfn.IFNA(VLOOKUP($B29,Data!$A$2:$C$612,2,FALSE),0))))</f>
        <v/>
      </c>
      <c r="E29" s="123" t="str">
        <f>IF(Kielivalinta="","",IF(Kielivalinta="Suomi",_xlfn.IFNA(VLOOKUP($A29,Data!$A$2:$C$612,3,FALSE),0),IF(Kielivalinta="Svenska",_xlfn.IFNA(VLOOKUP($B29,Data!$A$2:$C$612,3,FALSE),0))))</f>
        <v/>
      </c>
      <c r="F29" s="119"/>
      <c r="G29" s="119"/>
      <c r="H29" s="119"/>
      <c r="I29" s="119"/>
      <c r="J29" s="119"/>
      <c r="Q29" s="119"/>
      <c r="R29" s="119"/>
      <c r="S29" s="119"/>
      <c r="T29" s="119"/>
      <c r="U29" s="119"/>
      <c r="V29" s="119"/>
      <c r="W29" s="119"/>
    </row>
    <row r="30" spans="1:23" x14ac:dyDescent="0.2">
      <c r="A30" s="122" t="s">
        <v>81</v>
      </c>
      <c r="B30" s="122" t="s">
        <v>691</v>
      </c>
      <c r="C30" s="115"/>
      <c r="D30" s="123" t="str">
        <f>IF(Kielivalinta="","",IF(Kielivalinta="Suomi",_xlfn.IFNA(VLOOKUP($A30,Data!$A$2:$C$612,2,FALSE),0),IF(Kielivalinta="Svenska",_xlfn.IFNA(VLOOKUP($B30,Data!$A$2:$C$612,2,FALSE),0))))</f>
        <v/>
      </c>
      <c r="E30" s="123" t="str">
        <f>IF(Kielivalinta="","",IF(Kielivalinta="Suomi",_xlfn.IFNA(VLOOKUP($A30,Data!$A$2:$C$612,3,FALSE),0),IF(Kielivalinta="Svenska",_xlfn.IFNA(VLOOKUP($B30,Data!$A$2:$C$612,3,FALSE),0))))</f>
        <v/>
      </c>
      <c r="F30" s="119"/>
      <c r="G30" s="119"/>
      <c r="H30" s="119"/>
      <c r="I30" s="119"/>
      <c r="J30" s="119"/>
      <c r="L30" s="120" t="s">
        <v>1274</v>
      </c>
      <c r="M30" s="118" t="str">
        <f>RIGHT(Data!$B$3,4)</f>
        <v/>
      </c>
      <c r="N30" s="118" t="str">
        <f>RIGHT(Data!$C$3,4)</f>
        <v/>
      </c>
      <c r="Q30" s="122"/>
      <c r="R30" s="119"/>
      <c r="S30" s="119"/>
      <c r="T30" s="119"/>
      <c r="U30" s="119"/>
      <c r="V30" s="119"/>
      <c r="W30" s="119"/>
    </row>
    <row r="31" spans="1:23" x14ac:dyDescent="0.2">
      <c r="A31" s="119" t="s">
        <v>82</v>
      </c>
      <c r="B31" s="119" t="s">
        <v>1041</v>
      </c>
      <c r="C31" s="115"/>
      <c r="D31" s="123" t="str">
        <f>IF(Kielivalinta="","",IF(Kielivalinta="Suomi",_xlfn.IFNA(VLOOKUP($A31,Data!$A$2:$C$612,2,FALSE),0),IF(Kielivalinta="Svenska",_xlfn.IFNA(VLOOKUP($B31,Data!$A$2:$C$612,2,FALSE),0))))</f>
        <v/>
      </c>
      <c r="E31" s="123" t="str">
        <f>IF(Kielivalinta="","",IF(Kielivalinta="Suomi",_xlfn.IFNA(VLOOKUP($A31,Data!$A$2:$C$612,3,FALSE),0),IF(Kielivalinta="Svenska",_xlfn.IFNA(VLOOKUP($B31,Data!$A$2:$C$612,3,FALSE),0))))</f>
        <v/>
      </c>
      <c r="F31" s="119"/>
      <c r="G31" s="119"/>
      <c r="H31" s="119"/>
      <c r="I31" s="119"/>
      <c r="J31" s="119"/>
      <c r="L31" s="120" t="str">
        <f>IF(Kielivalinta="Suomi",A9,IF(Kielivalinta="Svenska",B9,""))</f>
        <v/>
      </c>
      <c r="M31" s="121">
        <f>_xlfn.IFNA(VLOOKUP($L31,Data!$A$2:$C$612,2,FALSE),0)</f>
        <v>0</v>
      </c>
      <c r="N31" s="121">
        <f>_xlfn.IFNA(VLOOKUP($L31,Data!$A$2:$C$612,3,FALSE),0)</f>
        <v>0</v>
      </c>
      <c r="Q31" s="119"/>
      <c r="R31" s="119"/>
      <c r="S31" s="119"/>
      <c r="T31" s="119"/>
      <c r="U31" s="119"/>
      <c r="V31" s="119"/>
      <c r="W31" s="119"/>
    </row>
    <row r="32" spans="1:23" x14ac:dyDescent="0.2">
      <c r="A32" s="122" t="s">
        <v>83</v>
      </c>
      <c r="B32" s="122" t="s">
        <v>692</v>
      </c>
      <c r="C32" s="115"/>
      <c r="D32" s="123" t="str">
        <f>IF(Kielivalinta="","",IF(Kielivalinta="Suomi",_xlfn.IFNA(VLOOKUP($A32,Data!$A$2:$C$612,2,FALSE),0),IF(Kielivalinta="Svenska",_xlfn.IFNA(VLOOKUP($B32,Data!$A$2:$C$612,2,FALSE),0))))</f>
        <v/>
      </c>
      <c r="E32" s="123" t="str">
        <f>IF(Kielivalinta="","",IF(Kielivalinta="Suomi",_xlfn.IFNA(VLOOKUP($A32,Data!$A$2:$C$612,3,FALSE),0),IF(Kielivalinta="Svenska",_xlfn.IFNA(VLOOKUP($B32,Data!$A$2:$C$612,3,FALSE),0))))</f>
        <v/>
      </c>
      <c r="F32" s="119"/>
      <c r="G32" s="119"/>
      <c r="H32" s="119"/>
      <c r="I32" s="119"/>
      <c r="J32" s="119"/>
      <c r="L32" s="120" t="str">
        <f>IF(Kielivalinta="","",IF(Kielivalinta="Suomi","Hallinnollisten yksiköitten tarkistus",IF(Kielivalinta="Svenska","Granskningen av administrativa enheter")))</f>
        <v/>
      </c>
      <c r="M32" s="126" t="str">
        <f>IF(Kielivalinta="","",IF(Kielivalinta="Suomi",IF(M31=0,"Kirjastolla pitää olla vähintään yksi hallinnollinen yksikkö","ok"),IF(Kielivalinta="Svenska",IF(M31=0,"Biblioteket måste ha minst en administrativ enhet","ok"))))</f>
        <v/>
      </c>
      <c r="N32" s="126" t="str">
        <f>IF(Kielivalinta="","",IF(Kielivalinta="Suomi",IF(N31=0,"Kirjastolla pitää olla vähintään yksi hallinnollinen yksikkö","ok"),IF(Kielivalinta="Svenska",IF(N31=0,"Biblioteket måste ha minst en administrativ enhet","ok"))))</f>
        <v/>
      </c>
      <c r="Q32" s="122"/>
      <c r="R32" s="119"/>
      <c r="S32" s="119"/>
      <c r="T32" s="119"/>
      <c r="U32" s="119"/>
      <c r="V32" s="119"/>
      <c r="W32" s="119"/>
    </row>
    <row r="33" spans="1:23" x14ac:dyDescent="0.2">
      <c r="A33" s="119" t="s">
        <v>84</v>
      </c>
      <c r="B33" s="119" t="s">
        <v>1042</v>
      </c>
      <c r="C33" s="115"/>
      <c r="D33" s="123" t="str">
        <f>IF(Kielivalinta="","",IF(Kielivalinta="Suomi",_xlfn.IFNA(VLOOKUP($A33,Data!$A$2:$C$612,2,FALSE),0),IF(Kielivalinta="Svenska",_xlfn.IFNA(VLOOKUP($B33,Data!$A$2:$C$612,2,FALSE),0))))</f>
        <v/>
      </c>
      <c r="E33" s="123" t="str">
        <f>IF(Kielivalinta="","",IF(Kielivalinta="Suomi",_xlfn.IFNA(VLOOKUP($A33,Data!$A$2:$C$612,3,FALSE),0),IF(Kielivalinta="Svenska",_xlfn.IFNA(VLOOKUP($B33,Data!$A$2:$C$612,3,FALSE),0))))</f>
        <v/>
      </c>
      <c r="F33" s="119"/>
      <c r="G33" s="119"/>
      <c r="H33" s="119"/>
      <c r="I33" s="119"/>
      <c r="J33" s="119"/>
      <c r="Q33" s="119"/>
      <c r="R33" s="119"/>
      <c r="S33" s="119"/>
      <c r="T33" s="119"/>
      <c r="U33" s="119"/>
      <c r="V33" s="119"/>
      <c r="W33" s="119"/>
    </row>
    <row r="34" spans="1:23" x14ac:dyDescent="0.2">
      <c r="A34" s="119" t="s">
        <v>85</v>
      </c>
      <c r="B34" s="119" t="s">
        <v>1043</v>
      </c>
      <c r="C34" s="115"/>
      <c r="D34" s="123" t="str">
        <f>IF(Kielivalinta="","",IF(Kielivalinta="Suomi",_xlfn.IFNA(VLOOKUP($A34,Data!$A$2:$C$612,2,FALSE),0),IF(Kielivalinta="Svenska",_xlfn.IFNA(VLOOKUP($B34,Data!$A$2:$C$612,2,FALSE),0))))</f>
        <v/>
      </c>
      <c r="E34" s="123" t="str">
        <f>IF(Kielivalinta="","",IF(Kielivalinta="Suomi",_xlfn.IFNA(VLOOKUP($A34,Data!$A$2:$C$612,3,FALSE),0),IF(Kielivalinta="Svenska",_xlfn.IFNA(VLOOKUP($B34,Data!$A$2:$C$612,3,FALSE),0))))</f>
        <v/>
      </c>
      <c r="F34" s="119"/>
      <c r="G34" s="119"/>
      <c r="H34" s="119"/>
      <c r="I34" s="119"/>
      <c r="J34" s="119"/>
      <c r="Q34" s="119"/>
      <c r="R34" s="119"/>
      <c r="S34" s="119"/>
      <c r="T34" s="119"/>
      <c r="U34" s="119"/>
      <c r="V34" s="119"/>
      <c r="W34" s="119"/>
    </row>
    <row r="35" spans="1:23" x14ac:dyDescent="0.2">
      <c r="A35" s="122" t="s">
        <v>86</v>
      </c>
      <c r="B35" s="122" t="s">
        <v>693</v>
      </c>
      <c r="C35" s="115"/>
      <c r="D35" s="123" t="str">
        <f>IF(Kielivalinta="","",IF(Kielivalinta="Suomi",_xlfn.IFNA(VLOOKUP($A35,Data!$A$2:$C$612,2,FALSE),0),IF(Kielivalinta="Svenska",_xlfn.IFNA(VLOOKUP($B35,Data!$A$2:$C$612,2,FALSE),0))))</f>
        <v/>
      </c>
      <c r="E35" s="123" t="str">
        <f>IF(Kielivalinta="","",IF(Kielivalinta="Suomi",_xlfn.IFNA(VLOOKUP($A35,Data!$A$2:$C$612,3,FALSE),0),IF(Kielivalinta="Svenska",_xlfn.IFNA(VLOOKUP($B35,Data!$A$2:$C$612,3,FALSE),0))))</f>
        <v/>
      </c>
      <c r="F35" s="119"/>
      <c r="G35" s="119"/>
      <c r="H35" s="119"/>
      <c r="I35" s="119"/>
      <c r="J35" s="119"/>
      <c r="Q35" s="122"/>
      <c r="R35" s="119"/>
      <c r="S35" s="119"/>
      <c r="T35" s="119"/>
      <c r="U35" s="119"/>
      <c r="V35" s="119"/>
      <c r="W35" s="119"/>
    </row>
    <row r="36" spans="1:23" x14ac:dyDescent="0.2">
      <c r="A36" s="122" t="s">
        <v>87</v>
      </c>
      <c r="B36" s="122" t="s">
        <v>694</v>
      </c>
      <c r="C36" s="115"/>
      <c r="D36" s="123" t="str">
        <f>IF(Kielivalinta="","",IF(Kielivalinta="Suomi",_xlfn.IFNA(VLOOKUP($A36,Data!$A$2:$C$612,2,FALSE),0),IF(Kielivalinta="Svenska",_xlfn.IFNA(VLOOKUP($B36,Data!$A$2:$C$612,2,FALSE),0))))</f>
        <v/>
      </c>
      <c r="E36" s="123" t="str">
        <f>IF(Kielivalinta="","",IF(Kielivalinta="Suomi",_xlfn.IFNA(VLOOKUP($A36,Data!$A$2:$C$612,3,FALSE),0),IF(Kielivalinta="Svenska",_xlfn.IFNA(VLOOKUP($B36,Data!$A$2:$C$612,3,FALSE),0))))</f>
        <v/>
      </c>
      <c r="F36" s="119"/>
      <c r="G36" s="119"/>
      <c r="H36" s="119"/>
      <c r="I36" s="119"/>
      <c r="J36" s="119"/>
      <c r="Q36" s="122"/>
      <c r="R36" s="119"/>
      <c r="S36" s="119"/>
      <c r="T36" s="119"/>
      <c r="U36" s="119"/>
      <c r="V36" s="119"/>
      <c r="W36" s="119"/>
    </row>
    <row r="37" spans="1:23" x14ac:dyDescent="0.2">
      <c r="A37" s="119" t="s">
        <v>88</v>
      </c>
      <c r="B37" s="119" t="s">
        <v>1044</v>
      </c>
      <c r="C37" s="115"/>
      <c r="D37" s="123" t="str">
        <f>IF(Kielivalinta="","",IF(Kielivalinta="Suomi",_xlfn.IFNA(VLOOKUP($A37,Data!$A$2:$C$612,2,FALSE),0),IF(Kielivalinta="Svenska",_xlfn.IFNA(VLOOKUP($B37,Data!$A$2:$C$612,2,FALSE),0))))</f>
        <v/>
      </c>
      <c r="E37" s="123" t="str">
        <f>IF(Kielivalinta="","",IF(Kielivalinta="Suomi",_xlfn.IFNA(VLOOKUP($A37,Data!$A$2:$C$612,3,FALSE),0),IF(Kielivalinta="Svenska",_xlfn.IFNA(VLOOKUP($B37,Data!$A$2:$C$612,3,FALSE),0))))</f>
        <v/>
      </c>
      <c r="F37" s="119"/>
      <c r="G37" s="119"/>
      <c r="H37" s="119"/>
      <c r="I37" s="119"/>
      <c r="J37" s="119"/>
      <c r="Q37" s="119"/>
      <c r="R37" s="119"/>
      <c r="S37" s="119"/>
      <c r="T37" s="119"/>
      <c r="U37" s="119"/>
      <c r="V37" s="119"/>
      <c r="W37" s="119"/>
    </row>
    <row r="38" spans="1:23" x14ac:dyDescent="0.2">
      <c r="A38" s="119" t="s">
        <v>89</v>
      </c>
      <c r="B38" s="119" t="s">
        <v>1045</v>
      </c>
      <c r="C38" s="115"/>
      <c r="D38" s="123" t="str">
        <f>IF(Kielivalinta="","",IF(Kielivalinta="Suomi",_xlfn.IFNA(VLOOKUP($A38,Data!$A$2:$C$612,2,FALSE),0),IF(Kielivalinta="Svenska",_xlfn.IFNA(VLOOKUP($B38,Data!$A$2:$C$612,2,FALSE),0))))</f>
        <v/>
      </c>
      <c r="E38" s="123" t="str">
        <f>IF(Kielivalinta="","",IF(Kielivalinta="Suomi",_xlfn.IFNA(VLOOKUP($A38,Data!$A$2:$C$612,3,FALSE),0),IF(Kielivalinta="Svenska",_xlfn.IFNA(VLOOKUP($B38,Data!$A$2:$C$612,3,FALSE),0))))</f>
        <v/>
      </c>
      <c r="F38" s="119"/>
      <c r="G38" s="119"/>
      <c r="H38" s="119"/>
      <c r="I38" s="119"/>
      <c r="J38" s="119"/>
      <c r="Q38" s="119"/>
      <c r="R38" s="119"/>
      <c r="S38" s="119"/>
      <c r="T38" s="119"/>
      <c r="U38" s="119"/>
      <c r="V38" s="119"/>
      <c r="W38" s="119"/>
    </row>
    <row r="39" spans="1:23" x14ac:dyDescent="0.2">
      <c r="A39" s="119" t="s">
        <v>90</v>
      </c>
      <c r="B39" s="119" t="s">
        <v>1046</v>
      </c>
      <c r="C39" s="115"/>
      <c r="D39" s="123" t="str">
        <f>IF(Kielivalinta="","",IF(Kielivalinta="Suomi",_xlfn.IFNA(VLOOKUP($A39,Data!$A$2:$C$612,2,FALSE),0),IF(Kielivalinta="Svenska",_xlfn.IFNA(VLOOKUP($B39,Data!$A$2:$C$612,2,FALSE),0))))</f>
        <v/>
      </c>
      <c r="E39" s="123" t="str">
        <f>IF(Kielivalinta="","",IF(Kielivalinta="Suomi",_xlfn.IFNA(VLOOKUP($A39,Data!$A$2:$C$612,3,FALSE),0),IF(Kielivalinta="Svenska",_xlfn.IFNA(VLOOKUP($B39,Data!$A$2:$C$612,3,FALSE),0))))</f>
        <v/>
      </c>
      <c r="F39" s="119"/>
      <c r="G39" s="119"/>
      <c r="H39" s="119"/>
      <c r="I39" s="119"/>
      <c r="J39" s="119"/>
      <c r="Q39" s="119"/>
      <c r="R39" s="119"/>
      <c r="S39" s="119"/>
      <c r="T39" s="119"/>
      <c r="U39" s="119"/>
      <c r="V39" s="119"/>
      <c r="W39" s="119"/>
    </row>
    <row r="40" spans="1:23" x14ac:dyDescent="0.2">
      <c r="A40" s="119" t="s">
        <v>91</v>
      </c>
      <c r="B40" s="119" t="s">
        <v>1047</v>
      </c>
      <c r="C40" s="115"/>
      <c r="D40" s="123" t="str">
        <f>IF(Kielivalinta="","",IF(Kielivalinta="Suomi",_xlfn.IFNA(VLOOKUP($A40,Data!$A$2:$C$612,2,FALSE),0),IF(Kielivalinta="Svenska",_xlfn.IFNA(VLOOKUP($B40,Data!$A$2:$C$612,2,FALSE),0))))</f>
        <v/>
      </c>
      <c r="E40" s="123" t="str">
        <f>IF(Kielivalinta="","",IF(Kielivalinta="Suomi",_xlfn.IFNA(VLOOKUP($A40,Data!$A$2:$C$612,3,FALSE),0),IF(Kielivalinta="Svenska",_xlfn.IFNA(VLOOKUP($B40,Data!$A$2:$C$612,3,FALSE),0))))</f>
        <v/>
      </c>
      <c r="F40" s="119"/>
      <c r="G40" s="119"/>
      <c r="H40" s="119"/>
      <c r="I40" s="119"/>
      <c r="J40" s="119"/>
      <c r="Q40" s="119"/>
      <c r="R40" s="119"/>
      <c r="S40" s="119"/>
      <c r="T40" s="119"/>
      <c r="U40" s="119"/>
      <c r="V40" s="119"/>
      <c r="W40" s="119"/>
    </row>
    <row r="41" spans="1:23" x14ac:dyDescent="0.2">
      <c r="A41" s="119" t="s">
        <v>92</v>
      </c>
      <c r="B41" s="119" t="s">
        <v>1048</v>
      </c>
      <c r="C41" s="115"/>
      <c r="D41" s="123" t="str">
        <f>IF(Kielivalinta="","",IF(Kielivalinta="Suomi",_xlfn.IFNA(VLOOKUP($A41,Data!$A$2:$C$612,2,FALSE),0),IF(Kielivalinta="Svenska",_xlfn.IFNA(VLOOKUP($B41,Data!$A$2:$C$612,2,FALSE),0))))</f>
        <v/>
      </c>
      <c r="E41" s="123" t="str">
        <f>IF(Kielivalinta="","",IF(Kielivalinta="Suomi",_xlfn.IFNA(VLOOKUP($A41,Data!$A$2:$C$612,3,FALSE),0),IF(Kielivalinta="Svenska",_xlfn.IFNA(VLOOKUP($B41,Data!$A$2:$C$612,3,FALSE),0))))</f>
        <v/>
      </c>
      <c r="F41" s="119"/>
      <c r="G41" s="119"/>
      <c r="H41" s="119"/>
      <c r="I41" s="119"/>
      <c r="J41" s="119"/>
      <c r="Q41" s="119"/>
      <c r="R41" s="119"/>
      <c r="S41" s="119"/>
      <c r="T41" s="119"/>
      <c r="U41" s="119"/>
      <c r="V41" s="119"/>
      <c r="W41" s="119"/>
    </row>
    <row r="42" spans="1:23" x14ac:dyDescent="0.2">
      <c r="A42" s="122" t="s">
        <v>93</v>
      </c>
      <c r="B42" s="122" t="s">
        <v>695</v>
      </c>
      <c r="C42" s="115"/>
      <c r="D42" s="123" t="str">
        <f>IF(Kielivalinta="","",IF(Kielivalinta="Suomi",_xlfn.IFNA(VLOOKUP($A42,Data!$A$2:$C$612,2,FALSE),0),IF(Kielivalinta="Svenska",_xlfn.IFNA(VLOOKUP($B42,Data!$A$2:$C$612,2,FALSE),0))))</f>
        <v/>
      </c>
      <c r="E42" s="123" t="str">
        <f>IF(Kielivalinta="","",IF(Kielivalinta="Suomi",_xlfn.IFNA(VLOOKUP($A42,Data!$A$2:$C$612,3,FALSE),0),IF(Kielivalinta="Svenska",_xlfn.IFNA(VLOOKUP($B42,Data!$A$2:$C$612,3,FALSE),0))))</f>
        <v/>
      </c>
      <c r="F42" s="119"/>
      <c r="G42" s="119"/>
      <c r="H42" s="119"/>
      <c r="I42" s="119"/>
      <c r="J42" s="119"/>
      <c r="Q42" s="122"/>
      <c r="R42" s="119"/>
      <c r="S42" s="119"/>
      <c r="T42" s="119"/>
      <c r="U42" s="119"/>
      <c r="V42" s="119"/>
      <c r="W42" s="119"/>
    </row>
    <row r="43" spans="1:23" x14ac:dyDescent="0.2">
      <c r="A43" s="122" t="s">
        <v>94</v>
      </c>
      <c r="B43" s="122" t="s">
        <v>696</v>
      </c>
      <c r="C43" s="115"/>
      <c r="D43" s="123" t="str">
        <f>IF(Kielivalinta="","",IF(Kielivalinta="Suomi",_xlfn.IFNA(VLOOKUP($A43,Data!$A$2:$C$612,2,FALSE),0),IF(Kielivalinta="Svenska",_xlfn.IFNA(VLOOKUP($B43,Data!$A$2:$C$612,2,FALSE),0))))</f>
        <v/>
      </c>
      <c r="E43" s="123" t="str">
        <f>IF(Kielivalinta="","",IF(Kielivalinta="Suomi",_xlfn.IFNA(VLOOKUP($A43,Data!$A$2:$C$612,3,FALSE),0),IF(Kielivalinta="Svenska",_xlfn.IFNA(VLOOKUP($B43,Data!$A$2:$C$612,3,FALSE),0))))</f>
        <v/>
      </c>
      <c r="F43" s="119"/>
      <c r="G43" s="119"/>
      <c r="H43" s="119"/>
      <c r="I43" s="119"/>
      <c r="J43" s="119"/>
      <c r="Q43" s="122"/>
      <c r="R43" s="119"/>
      <c r="S43" s="119"/>
      <c r="T43" s="119"/>
      <c r="U43" s="119"/>
      <c r="V43" s="119"/>
      <c r="W43" s="119"/>
    </row>
    <row r="44" spans="1:23" x14ac:dyDescent="0.2">
      <c r="A44" s="119" t="s">
        <v>95</v>
      </c>
      <c r="B44" s="119" t="s">
        <v>1049</v>
      </c>
      <c r="C44" s="115"/>
      <c r="D44" s="123" t="str">
        <f>IF(Kielivalinta="","",IF(Kielivalinta="Suomi",_xlfn.IFNA(VLOOKUP($A44,Data!$A$2:$C$612,2,FALSE),0),IF(Kielivalinta="Svenska",_xlfn.IFNA(VLOOKUP($B44,Data!$A$2:$C$612,2,FALSE),0))))</f>
        <v/>
      </c>
      <c r="E44" s="123" t="str">
        <f>IF(Kielivalinta="","",IF(Kielivalinta="Suomi",_xlfn.IFNA(VLOOKUP($A44,Data!$A$2:$C$612,3,FALSE),0),IF(Kielivalinta="Svenska",_xlfn.IFNA(VLOOKUP($B44,Data!$A$2:$C$612,3,FALSE),0))))</f>
        <v/>
      </c>
      <c r="F44" s="119"/>
      <c r="G44" s="119"/>
      <c r="H44" s="119"/>
      <c r="I44" s="119"/>
      <c r="J44" s="119"/>
      <c r="Q44" s="119"/>
      <c r="R44" s="119"/>
      <c r="S44" s="119"/>
      <c r="T44" s="119"/>
      <c r="U44" s="119"/>
      <c r="V44" s="119"/>
      <c r="W44" s="119"/>
    </row>
    <row r="45" spans="1:23" x14ac:dyDescent="0.2">
      <c r="A45" s="122" t="s">
        <v>96</v>
      </c>
      <c r="B45" s="122" t="s">
        <v>697</v>
      </c>
      <c r="C45" s="115"/>
      <c r="D45" s="123" t="str">
        <f>IF(Kielivalinta="","",IF(Kielivalinta="Suomi",_xlfn.IFNA(VLOOKUP($A45,Data!$A$2:$C$612,2,FALSE),0),IF(Kielivalinta="Svenska",_xlfn.IFNA(VLOOKUP($B45,Data!$A$2:$C$612,2,FALSE),0))))</f>
        <v/>
      </c>
      <c r="E45" s="123" t="str">
        <f>IF(Kielivalinta="","",IF(Kielivalinta="Suomi",_xlfn.IFNA(VLOOKUP($A45,Data!$A$2:$C$612,3,FALSE),0),IF(Kielivalinta="Svenska",_xlfn.IFNA(VLOOKUP($B45,Data!$A$2:$C$612,3,FALSE),0))))</f>
        <v/>
      </c>
      <c r="F45" s="119"/>
      <c r="G45" s="119"/>
      <c r="H45" s="119"/>
      <c r="I45" s="119"/>
      <c r="J45" s="119"/>
      <c r="Q45" s="122"/>
      <c r="R45" s="119"/>
      <c r="S45" s="119"/>
      <c r="T45" s="119"/>
      <c r="U45" s="119"/>
      <c r="V45" s="119"/>
      <c r="W45" s="119"/>
    </row>
    <row r="46" spans="1:23" x14ac:dyDescent="0.2">
      <c r="A46" s="119" t="s">
        <v>97</v>
      </c>
      <c r="B46" s="119" t="s">
        <v>1050</v>
      </c>
      <c r="C46" s="115"/>
      <c r="D46" s="123" t="str">
        <f>IF(Kielivalinta="","",IF(Kielivalinta="Suomi",_xlfn.IFNA(VLOOKUP($A46,Data!$A$2:$C$612,2,FALSE),0),IF(Kielivalinta="Svenska",_xlfn.IFNA(VLOOKUP($B46,Data!$A$2:$C$612,2,FALSE),0))))</f>
        <v/>
      </c>
      <c r="E46" s="123" t="str">
        <f>IF(Kielivalinta="","",IF(Kielivalinta="Suomi",_xlfn.IFNA(VLOOKUP($A46,Data!$A$2:$C$612,3,FALSE),0),IF(Kielivalinta="Svenska",_xlfn.IFNA(VLOOKUP($B46,Data!$A$2:$C$612,3,FALSE),0))))</f>
        <v/>
      </c>
      <c r="F46" s="119"/>
      <c r="G46" s="119"/>
      <c r="H46" s="119"/>
      <c r="I46" s="119"/>
      <c r="J46" s="119"/>
      <c r="Q46" s="119"/>
      <c r="R46" s="119"/>
      <c r="S46" s="119"/>
      <c r="T46" s="119"/>
      <c r="U46" s="119"/>
      <c r="V46" s="119"/>
      <c r="W46" s="119"/>
    </row>
    <row r="47" spans="1:23" x14ac:dyDescent="0.2">
      <c r="A47" s="119" t="s">
        <v>98</v>
      </c>
      <c r="B47" s="119" t="s">
        <v>1051</v>
      </c>
      <c r="C47" s="115"/>
      <c r="D47" s="123" t="str">
        <f>IF(Kielivalinta="","",IF(Kielivalinta="Suomi",_xlfn.IFNA(VLOOKUP($A47,Data!$A$2:$C$612,2,FALSE),0),IF(Kielivalinta="Svenska",_xlfn.IFNA(VLOOKUP($B47,Data!$A$2:$C$612,2,FALSE),0))))</f>
        <v/>
      </c>
      <c r="E47" s="123" t="str">
        <f>IF(Kielivalinta="","",IF(Kielivalinta="Suomi",_xlfn.IFNA(VLOOKUP($A47,Data!$A$2:$C$612,3,FALSE),0),IF(Kielivalinta="Svenska",_xlfn.IFNA(VLOOKUP($B47,Data!$A$2:$C$612,3,FALSE),0))))</f>
        <v/>
      </c>
      <c r="F47" s="119"/>
      <c r="G47" s="119"/>
      <c r="H47" s="119"/>
      <c r="I47" s="119"/>
      <c r="J47" s="119"/>
      <c r="Q47" s="119"/>
      <c r="R47" s="119"/>
      <c r="S47" s="119"/>
      <c r="T47" s="119"/>
      <c r="U47" s="119"/>
      <c r="V47" s="119"/>
      <c r="W47" s="119"/>
    </row>
    <row r="48" spans="1:23" x14ac:dyDescent="0.2">
      <c r="A48" s="119" t="s">
        <v>99</v>
      </c>
      <c r="B48" s="119" t="s">
        <v>1052</v>
      </c>
      <c r="C48" s="115"/>
      <c r="D48" s="123" t="str">
        <f>IF(Kielivalinta="","",IF(Kielivalinta="Suomi",_xlfn.IFNA(VLOOKUP($A48,Data!$A$2:$C$612,2,FALSE),0),IF(Kielivalinta="Svenska",_xlfn.IFNA(VLOOKUP($B48,Data!$A$2:$C$612,2,FALSE),0))))</f>
        <v/>
      </c>
      <c r="E48" s="123" t="str">
        <f>IF(Kielivalinta="","",IF(Kielivalinta="Suomi",_xlfn.IFNA(VLOOKUP($A48,Data!$A$2:$C$612,3,FALSE),0),IF(Kielivalinta="Svenska",_xlfn.IFNA(VLOOKUP($B48,Data!$A$2:$C$612,3,FALSE),0))))</f>
        <v/>
      </c>
      <c r="F48" s="119"/>
      <c r="G48" s="119"/>
      <c r="H48" s="119"/>
      <c r="I48" s="119"/>
      <c r="J48" s="119"/>
      <c r="Q48" s="119"/>
      <c r="R48" s="119"/>
      <c r="S48" s="119"/>
      <c r="T48" s="119"/>
      <c r="U48" s="119"/>
      <c r="V48" s="119"/>
      <c r="W48" s="119"/>
    </row>
    <row r="49" spans="1:23" x14ac:dyDescent="0.2">
      <c r="A49" s="119" t="s">
        <v>100</v>
      </c>
      <c r="B49" s="119" t="s">
        <v>1053</v>
      </c>
      <c r="C49" s="115"/>
      <c r="D49" s="123" t="str">
        <f>IF(Kielivalinta="","",IF(Kielivalinta="Suomi",_xlfn.IFNA(VLOOKUP($A49,Data!$A$2:$C$612,2,FALSE),0),IF(Kielivalinta="Svenska",_xlfn.IFNA(VLOOKUP($B49,Data!$A$2:$C$612,2,FALSE),0))))</f>
        <v/>
      </c>
      <c r="E49" s="123" t="str">
        <f>IF(Kielivalinta="","",IF(Kielivalinta="Suomi",_xlfn.IFNA(VLOOKUP($A49,Data!$A$2:$C$612,3,FALSE),0),IF(Kielivalinta="Svenska",_xlfn.IFNA(VLOOKUP($B49,Data!$A$2:$C$612,3,FALSE),0))))</f>
        <v/>
      </c>
      <c r="F49" s="119"/>
      <c r="G49" s="119"/>
      <c r="H49" s="119"/>
      <c r="I49" s="119"/>
      <c r="J49" s="119"/>
      <c r="Q49" s="119"/>
      <c r="R49" s="119"/>
      <c r="S49" s="119"/>
      <c r="T49" s="119"/>
      <c r="U49" s="119"/>
      <c r="V49" s="119"/>
      <c r="W49" s="119"/>
    </row>
    <row r="50" spans="1:23" x14ac:dyDescent="0.2">
      <c r="A50" s="119" t="s">
        <v>101</v>
      </c>
      <c r="B50" s="119" t="s">
        <v>1054</v>
      </c>
      <c r="C50" s="115"/>
      <c r="D50" s="123" t="str">
        <f>IF(Kielivalinta="","",IF(Kielivalinta="Suomi",_xlfn.IFNA(VLOOKUP($A50,Data!$A$2:$C$612,2,FALSE),0),IF(Kielivalinta="Svenska",_xlfn.IFNA(VLOOKUP($B50,Data!$A$2:$C$612,2,FALSE),0))))</f>
        <v/>
      </c>
      <c r="E50" s="123" t="str">
        <f>IF(Kielivalinta="","",IF(Kielivalinta="Suomi",_xlfn.IFNA(VLOOKUP($A50,Data!$A$2:$C$612,3,FALSE),0),IF(Kielivalinta="Svenska",_xlfn.IFNA(VLOOKUP($B50,Data!$A$2:$C$612,3,FALSE),0))))</f>
        <v/>
      </c>
      <c r="F50" s="119"/>
      <c r="G50" s="119"/>
      <c r="H50" s="119"/>
      <c r="I50" s="119"/>
      <c r="J50" s="119"/>
      <c r="Q50" s="119"/>
      <c r="R50" s="119"/>
      <c r="S50" s="119"/>
      <c r="T50" s="119"/>
      <c r="U50" s="119"/>
      <c r="V50" s="119"/>
      <c r="W50" s="119"/>
    </row>
    <row r="51" spans="1:23" x14ac:dyDescent="0.2">
      <c r="A51" s="122" t="s">
        <v>102</v>
      </c>
      <c r="B51" s="122" t="s">
        <v>698</v>
      </c>
      <c r="C51" s="115"/>
      <c r="D51" s="123" t="str">
        <f>IF(Kielivalinta="","",IF(Kielivalinta="Suomi",_xlfn.IFNA(VLOOKUP($A51,Data!$A$2:$C$612,2,FALSE),0),IF(Kielivalinta="Svenska",_xlfn.IFNA(VLOOKUP($B51,Data!$A$2:$C$612,2,FALSE),0))))</f>
        <v/>
      </c>
      <c r="E51" s="123" t="str">
        <f>IF(Kielivalinta="","",IF(Kielivalinta="Suomi",_xlfn.IFNA(VLOOKUP($A51,Data!$A$2:$C$612,3,FALSE),0),IF(Kielivalinta="Svenska",_xlfn.IFNA(VLOOKUP($B51,Data!$A$2:$C$612,3,FALSE),0))))</f>
        <v/>
      </c>
      <c r="F51" s="119"/>
      <c r="G51" s="119"/>
      <c r="H51" s="119"/>
      <c r="I51" s="119"/>
      <c r="J51" s="119"/>
      <c r="Q51" s="122"/>
      <c r="R51" s="119"/>
      <c r="S51" s="119"/>
      <c r="T51" s="119"/>
      <c r="U51" s="119"/>
      <c r="V51" s="119"/>
      <c r="W51" s="119"/>
    </row>
    <row r="52" spans="1:23" x14ac:dyDescent="0.2">
      <c r="A52" s="119" t="s">
        <v>103</v>
      </c>
      <c r="B52" s="119" t="s">
        <v>1055</v>
      </c>
      <c r="C52" s="115"/>
      <c r="D52" s="123" t="str">
        <f>IF(Kielivalinta="","",IF(Kielivalinta="Suomi",_xlfn.IFNA(VLOOKUP($A52,Data!$A$2:$C$612,2,FALSE),0),IF(Kielivalinta="Svenska",_xlfn.IFNA(VLOOKUP($B52,Data!$A$2:$C$612,2,FALSE),0))))</f>
        <v/>
      </c>
      <c r="E52" s="123" t="str">
        <f>IF(Kielivalinta="","",IF(Kielivalinta="Suomi",_xlfn.IFNA(VLOOKUP($A52,Data!$A$2:$C$612,3,FALSE),0),IF(Kielivalinta="Svenska",_xlfn.IFNA(VLOOKUP($B52,Data!$A$2:$C$612,3,FALSE),0))))</f>
        <v/>
      </c>
      <c r="F52" s="119"/>
      <c r="G52" s="119"/>
      <c r="H52" s="119"/>
      <c r="I52" s="119"/>
      <c r="J52" s="119"/>
      <c r="Q52" s="119"/>
      <c r="R52" s="119"/>
      <c r="S52" s="119"/>
      <c r="T52" s="119"/>
      <c r="U52" s="119"/>
      <c r="V52" s="119"/>
      <c r="W52" s="119"/>
    </row>
    <row r="53" spans="1:23" x14ac:dyDescent="0.2">
      <c r="A53" s="122" t="s">
        <v>104</v>
      </c>
      <c r="B53" s="122" t="s">
        <v>699</v>
      </c>
      <c r="C53" s="115"/>
      <c r="D53" s="123" t="str">
        <f>IF(Kielivalinta="","",IF(Kielivalinta="Suomi",_xlfn.IFNA(VLOOKUP($A53,Data!$A$2:$C$612,2,FALSE),0),IF(Kielivalinta="Svenska",_xlfn.IFNA(VLOOKUP($B53,Data!$A$2:$C$612,2,FALSE),0))))</f>
        <v/>
      </c>
      <c r="E53" s="123" t="str">
        <f>IF(Kielivalinta="","",IF(Kielivalinta="Suomi",_xlfn.IFNA(VLOOKUP($A53,Data!$A$2:$C$612,3,FALSE),0),IF(Kielivalinta="Svenska",_xlfn.IFNA(VLOOKUP($B53,Data!$A$2:$C$612,3,FALSE),0))))</f>
        <v/>
      </c>
      <c r="F53" s="119"/>
      <c r="G53" s="119"/>
      <c r="H53" s="119"/>
      <c r="I53" s="119"/>
      <c r="J53" s="119"/>
      <c r="Q53" s="122"/>
      <c r="R53" s="119"/>
      <c r="S53" s="119"/>
      <c r="T53" s="119"/>
      <c r="U53" s="119"/>
      <c r="V53" s="119"/>
      <c r="W53" s="119"/>
    </row>
    <row r="54" spans="1:23" x14ac:dyDescent="0.2">
      <c r="A54" s="119" t="s">
        <v>105</v>
      </c>
      <c r="B54" s="119" t="s">
        <v>1056</v>
      </c>
      <c r="C54" s="115"/>
      <c r="D54" s="123" t="str">
        <f>IF(Kielivalinta="","",IF(Kielivalinta="Suomi",_xlfn.IFNA(VLOOKUP($A54,Data!$A$2:$C$612,2,FALSE),0),IF(Kielivalinta="Svenska",_xlfn.IFNA(VLOOKUP($B54,Data!$A$2:$C$612,2,FALSE),0))))</f>
        <v/>
      </c>
      <c r="E54" s="123" t="str">
        <f>IF(Kielivalinta="","",IF(Kielivalinta="Suomi",_xlfn.IFNA(VLOOKUP($A54,Data!$A$2:$C$612,3,FALSE),0),IF(Kielivalinta="Svenska",_xlfn.IFNA(VLOOKUP($B54,Data!$A$2:$C$612,3,FALSE),0))))</f>
        <v/>
      </c>
      <c r="F54" s="119"/>
      <c r="G54" s="119"/>
      <c r="H54" s="119"/>
      <c r="I54" s="119"/>
      <c r="J54" s="119"/>
      <c r="Q54" s="119"/>
      <c r="R54" s="119"/>
      <c r="S54" s="119"/>
      <c r="T54" s="119"/>
      <c r="U54" s="119"/>
      <c r="V54" s="119"/>
      <c r="W54" s="119"/>
    </row>
    <row r="55" spans="1:23" x14ac:dyDescent="0.2">
      <c r="A55" s="122" t="s">
        <v>106</v>
      </c>
      <c r="B55" s="122" t="s">
        <v>700</v>
      </c>
      <c r="C55" s="115"/>
      <c r="D55" s="123" t="str">
        <f>IF(Kielivalinta="","",IF(Kielivalinta="Suomi",_xlfn.IFNA(VLOOKUP($A55,Data!$A$2:$C$612,2,FALSE),0),IF(Kielivalinta="Svenska",_xlfn.IFNA(VLOOKUP($B55,Data!$A$2:$C$612,2,FALSE),0))))</f>
        <v/>
      </c>
      <c r="E55" s="123" t="str">
        <f>IF(Kielivalinta="","",IF(Kielivalinta="Suomi",_xlfn.IFNA(VLOOKUP($A55,Data!$A$2:$C$612,3,FALSE),0),IF(Kielivalinta="Svenska",_xlfn.IFNA(VLOOKUP($B55,Data!$A$2:$C$612,3,FALSE),0))))</f>
        <v/>
      </c>
      <c r="F55" s="119"/>
      <c r="G55" s="119"/>
      <c r="H55" s="119"/>
      <c r="I55" s="119"/>
      <c r="J55" s="119"/>
      <c r="Q55" s="122"/>
      <c r="R55" s="119"/>
      <c r="S55" s="119"/>
      <c r="T55" s="119"/>
      <c r="U55" s="119"/>
      <c r="V55" s="119"/>
      <c r="W55" s="119"/>
    </row>
    <row r="56" spans="1:23" x14ac:dyDescent="0.2">
      <c r="A56" s="119" t="s">
        <v>107</v>
      </c>
      <c r="B56" s="119" t="s">
        <v>1057</v>
      </c>
      <c r="C56" s="115"/>
      <c r="D56" s="123" t="str">
        <f>IF(Kielivalinta="","",IF(Kielivalinta="Suomi",_xlfn.IFNA(VLOOKUP($A56,Data!$A$2:$C$612,2,FALSE),0),IF(Kielivalinta="Svenska",_xlfn.IFNA(VLOOKUP($B56,Data!$A$2:$C$612,2,FALSE),0))))</f>
        <v/>
      </c>
      <c r="E56" s="123" t="str">
        <f>IF(Kielivalinta="","",IF(Kielivalinta="Suomi",_xlfn.IFNA(VLOOKUP($A56,Data!$A$2:$C$612,3,FALSE),0),IF(Kielivalinta="Svenska",_xlfn.IFNA(VLOOKUP($B56,Data!$A$2:$C$612,3,FALSE),0))))</f>
        <v/>
      </c>
      <c r="F56" s="119"/>
      <c r="G56" s="119"/>
      <c r="H56" s="119"/>
      <c r="I56" s="119"/>
      <c r="J56" s="119"/>
      <c r="Q56" s="119"/>
      <c r="R56" s="119"/>
      <c r="S56" s="119"/>
      <c r="T56" s="119"/>
      <c r="U56" s="119"/>
      <c r="V56" s="119"/>
      <c r="W56" s="119"/>
    </row>
    <row r="57" spans="1:23" x14ac:dyDescent="0.2">
      <c r="A57" s="122" t="s">
        <v>108</v>
      </c>
      <c r="B57" s="122" t="s">
        <v>701</v>
      </c>
      <c r="C57" s="115"/>
      <c r="D57" s="123" t="str">
        <f>IF(Kielivalinta="","",IF(Kielivalinta="Suomi",_xlfn.IFNA(VLOOKUP($A57,Data!$A$2:$C$612,2,FALSE),0),IF(Kielivalinta="Svenska",_xlfn.IFNA(VLOOKUP($B57,Data!$A$2:$C$612,2,FALSE),0))))</f>
        <v/>
      </c>
      <c r="E57" s="123" t="str">
        <f>IF(Kielivalinta="","",IF(Kielivalinta="Suomi",_xlfn.IFNA(VLOOKUP($A57,Data!$A$2:$C$612,3,FALSE),0),IF(Kielivalinta="Svenska",_xlfn.IFNA(VLOOKUP($B57,Data!$A$2:$C$612,3,FALSE),0))))</f>
        <v/>
      </c>
      <c r="F57" s="119"/>
      <c r="G57" s="119"/>
      <c r="H57" s="119"/>
      <c r="I57" s="119"/>
      <c r="J57" s="119"/>
      <c r="Q57" s="122"/>
      <c r="R57" s="119"/>
      <c r="S57" s="119"/>
      <c r="T57" s="119"/>
      <c r="U57" s="119"/>
      <c r="V57" s="119"/>
      <c r="W57" s="119"/>
    </row>
    <row r="58" spans="1:23" x14ac:dyDescent="0.2">
      <c r="A58" s="119" t="s">
        <v>109</v>
      </c>
      <c r="B58" s="119" t="s">
        <v>1058</v>
      </c>
      <c r="C58" s="115"/>
      <c r="D58" s="123" t="str">
        <f>IF(Kielivalinta="","",IF(Kielivalinta="Suomi",_xlfn.IFNA(VLOOKUP($A58,Data!$A$2:$C$612,2,FALSE),0),IF(Kielivalinta="Svenska",_xlfn.IFNA(VLOOKUP($B58,Data!$A$2:$C$612,2,FALSE),0))))</f>
        <v/>
      </c>
      <c r="E58" s="123" t="str">
        <f>IF(Kielivalinta="","",IF(Kielivalinta="Suomi",_xlfn.IFNA(VLOOKUP($A58,Data!$A$2:$C$612,3,FALSE),0),IF(Kielivalinta="Svenska",_xlfn.IFNA(VLOOKUP($B58,Data!$A$2:$C$612,3,FALSE),0))))</f>
        <v/>
      </c>
      <c r="F58" s="119"/>
      <c r="G58" s="119"/>
      <c r="H58" s="119"/>
      <c r="I58" s="119"/>
      <c r="J58" s="119"/>
      <c r="Q58" s="119"/>
      <c r="R58" s="119"/>
      <c r="S58" s="119"/>
      <c r="T58" s="119"/>
      <c r="U58" s="119"/>
      <c r="V58" s="119"/>
      <c r="W58" s="119"/>
    </row>
    <row r="59" spans="1:23" x14ac:dyDescent="0.2">
      <c r="A59" s="122" t="s">
        <v>110</v>
      </c>
      <c r="B59" s="122" t="s">
        <v>702</v>
      </c>
      <c r="C59" s="115"/>
      <c r="D59" s="123" t="str">
        <f>IF(Kielivalinta="","",IF(Kielivalinta="Suomi",_xlfn.IFNA(VLOOKUP($A59,Data!$A$2:$C$612,2,FALSE),0),IF(Kielivalinta="Svenska",_xlfn.IFNA(VLOOKUP($B59,Data!$A$2:$C$612,2,FALSE),0))))</f>
        <v/>
      </c>
      <c r="E59" s="123" t="str">
        <f>IF(Kielivalinta="","",IF(Kielivalinta="Suomi",_xlfn.IFNA(VLOOKUP($A59,Data!$A$2:$C$612,3,FALSE),0),IF(Kielivalinta="Svenska",_xlfn.IFNA(VLOOKUP($B59,Data!$A$2:$C$612,3,FALSE),0))))</f>
        <v/>
      </c>
      <c r="F59" s="119"/>
      <c r="G59" s="119"/>
      <c r="H59" s="119"/>
      <c r="I59" s="119"/>
      <c r="J59" s="119"/>
      <c r="Q59" s="122"/>
      <c r="R59" s="119"/>
      <c r="S59" s="119"/>
      <c r="T59" s="119"/>
      <c r="U59" s="119"/>
      <c r="V59" s="119"/>
      <c r="W59" s="119"/>
    </row>
    <row r="60" spans="1:23" x14ac:dyDescent="0.2">
      <c r="A60" s="122" t="s">
        <v>111</v>
      </c>
      <c r="B60" s="122" t="s">
        <v>703</v>
      </c>
      <c r="C60" s="115"/>
      <c r="D60" s="123" t="str">
        <f>IF(Kielivalinta="","",IF(Kielivalinta="Suomi",_xlfn.IFNA(VLOOKUP($A60,Data!$A$2:$C$612,2,FALSE),0),IF(Kielivalinta="Svenska",_xlfn.IFNA(VLOOKUP($B60,Data!$A$2:$C$612,2,FALSE),0))))</f>
        <v/>
      </c>
      <c r="E60" s="123" t="str">
        <f>IF(Kielivalinta="","",IF(Kielivalinta="Suomi",_xlfn.IFNA(VLOOKUP($A60,Data!$A$2:$C$612,3,FALSE),0),IF(Kielivalinta="Svenska",_xlfn.IFNA(VLOOKUP($B60,Data!$A$2:$C$612,3,FALSE),0))))</f>
        <v/>
      </c>
      <c r="F60" s="119"/>
      <c r="G60" s="119"/>
      <c r="H60" s="119"/>
      <c r="I60" s="119"/>
      <c r="J60" s="119"/>
      <c r="Q60" s="122"/>
      <c r="R60" s="119"/>
      <c r="S60" s="119"/>
      <c r="T60" s="119"/>
      <c r="U60" s="119"/>
      <c r="V60" s="119"/>
      <c r="W60" s="119"/>
    </row>
    <row r="61" spans="1:23" x14ac:dyDescent="0.2">
      <c r="A61" s="119" t="s">
        <v>112</v>
      </c>
      <c r="B61" s="119" t="s">
        <v>1059</v>
      </c>
      <c r="C61" s="115"/>
      <c r="D61" s="123" t="str">
        <f>IF(Kielivalinta="","",IF(Kielivalinta="Suomi",_xlfn.IFNA(VLOOKUP($A61,Data!$A$2:$C$612,2,FALSE),0),IF(Kielivalinta="Svenska",_xlfn.IFNA(VLOOKUP($B61,Data!$A$2:$C$612,2,FALSE),0))))</f>
        <v/>
      </c>
      <c r="E61" s="123" t="str">
        <f>IF(Kielivalinta="","",IF(Kielivalinta="Suomi",_xlfn.IFNA(VLOOKUP($A61,Data!$A$2:$C$612,3,FALSE),0),IF(Kielivalinta="Svenska",_xlfn.IFNA(VLOOKUP($B61,Data!$A$2:$C$612,3,FALSE),0))))</f>
        <v/>
      </c>
      <c r="F61" s="119"/>
      <c r="G61" s="119"/>
      <c r="H61" s="119"/>
      <c r="I61" s="119"/>
      <c r="J61" s="119"/>
      <c r="Q61" s="119"/>
      <c r="R61" s="119"/>
      <c r="S61" s="119"/>
      <c r="T61" s="119"/>
      <c r="U61" s="119"/>
      <c r="V61" s="119"/>
      <c r="W61" s="119"/>
    </row>
    <row r="62" spans="1:23" x14ac:dyDescent="0.2">
      <c r="A62" s="119" t="s">
        <v>113</v>
      </c>
      <c r="B62" s="119" t="s">
        <v>1060</v>
      </c>
      <c r="C62" s="115"/>
      <c r="D62" s="123" t="str">
        <f>IF(Kielivalinta="","",IF(Kielivalinta="Suomi",_xlfn.IFNA(VLOOKUP($A62,Data!$A$2:$C$612,2,FALSE),0),IF(Kielivalinta="Svenska",_xlfn.IFNA(VLOOKUP($B62,Data!$A$2:$C$612,2,FALSE),0))))</f>
        <v/>
      </c>
      <c r="E62" s="123" t="str">
        <f>IF(Kielivalinta="","",IF(Kielivalinta="Suomi",_xlfn.IFNA(VLOOKUP($A62,Data!$A$2:$C$612,3,FALSE),0),IF(Kielivalinta="Svenska",_xlfn.IFNA(VLOOKUP($B62,Data!$A$2:$C$612,3,FALSE),0))))</f>
        <v/>
      </c>
      <c r="F62" s="119"/>
      <c r="G62" s="119"/>
      <c r="H62" s="119"/>
      <c r="I62" s="119"/>
      <c r="J62" s="119"/>
      <c r="Q62" s="119"/>
      <c r="R62" s="119"/>
      <c r="S62" s="119"/>
      <c r="T62" s="119"/>
      <c r="U62" s="119"/>
      <c r="V62" s="119"/>
      <c r="W62" s="119"/>
    </row>
    <row r="63" spans="1:23" x14ac:dyDescent="0.2">
      <c r="A63" s="119" t="s">
        <v>114</v>
      </c>
      <c r="B63" s="119" t="s">
        <v>1061</v>
      </c>
      <c r="C63" s="115"/>
      <c r="D63" s="123" t="str">
        <f>IF(Kielivalinta="","",IF(Kielivalinta="Suomi",_xlfn.IFNA(VLOOKUP($A63,Data!$A$2:$C$612,2,FALSE),0),IF(Kielivalinta="Svenska",_xlfn.IFNA(VLOOKUP($B63,Data!$A$2:$C$612,2,FALSE),0))))</f>
        <v/>
      </c>
      <c r="E63" s="123" t="str">
        <f>IF(Kielivalinta="","",IF(Kielivalinta="Suomi",_xlfn.IFNA(VLOOKUP($A63,Data!$A$2:$C$612,3,FALSE),0),IF(Kielivalinta="Svenska",_xlfn.IFNA(VLOOKUP($B63,Data!$A$2:$C$612,3,FALSE),0))))</f>
        <v/>
      </c>
      <c r="F63" s="119"/>
      <c r="G63" s="119"/>
      <c r="H63" s="119"/>
      <c r="I63" s="119"/>
      <c r="J63" s="119"/>
      <c r="Q63" s="119"/>
      <c r="R63" s="119"/>
      <c r="S63" s="119"/>
      <c r="T63" s="119"/>
      <c r="U63" s="119"/>
      <c r="V63" s="119"/>
      <c r="W63" s="119"/>
    </row>
    <row r="64" spans="1:23" x14ac:dyDescent="0.2">
      <c r="A64" s="119" t="s">
        <v>115</v>
      </c>
      <c r="B64" s="119" t="s">
        <v>1062</v>
      </c>
      <c r="C64" s="115"/>
      <c r="D64" s="123" t="str">
        <f>IF(Kielivalinta="","",IF(Kielivalinta="Suomi",_xlfn.IFNA(VLOOKUP($A64,Data!$A$2:$C$612,2,FALSE),0),IF(Kielivalinta="Svenska",_xlfn.IFNA(VLOOKUP($B64,Data!$A$2:$C$612,2,FALSE),0))))</f>
        <v/>
      </c>
      <c r="E64" s="123" t="str">
        <f>IF(Kielivalinta="","",IF(Kielivalinta="Suomi",_xlfn.IFNA(VLOOKUP($A64,Data!$A$2:$C$612,3,FALSE),0),IF(Kielivalinta="Svenska",_xlfn.IFNA(VLOOKUP($B64,Data!$A$2:$C$612,3,FALSE),0))))</f>
        <v/>
      </c>
      <c r="F64" s="119"/>
      <c r="G64" s="119"/>
      <c r="H64" s="119"/>
      <c r="I64" s="119"/>
      <c r="J64" s="119"/>
      <c r="Q64" s="119"/>
      <c r="R64" s="119"/>
      <c r="S64" s="119"/>
      <c r="T64" s="119"/>
      <c r="U64" s="119"/>
      <c r="V64" s="119"/>
      <c r="W64" s="119"/>
    </row>
    <row r="65" spans="1:23" x14ac:dyDescent="0.2">
      <c r="A65" s="122" t="s">
        <v>116</v>
      </c>
      <c r="B65" s="122" t="s">
        <v>704</v>
      </c>
      <c r="C65" s="115"/>
      <c r="D65" s="123" t="str">
        <f>IF(Kielivalinta="","",IF(Kielivalinta="Suomi",_xlfn.IFNA(VLOOKUP($A65,Data!$A$2:$C$612,2,FALSE),0),IF(Kielivalinta="Svenska",_xlfn.IFNA(VLOOKUP($B65,Data!$A$2:$C$612,2,FALSE),0))))</f>
        <v/>
      </c>
      <c r="E65" s="123" t="str">
        <f>IF(Kielivalinta="","",IF(Kielivalinta="Suomi",_xlfn.IFNA(VLOOKUP($A65,Data!$A$2:$C$612,3,FALSE),0),IF(Kielivalinta="Svenska",_xlfn.IFNA(VLOOKUP($B65,Data!$A$2:$C$612,3,FALSE),0))))</f>
        <v/>
      </c>
      <c r="F65" s="119"/>
      <c r="G65" s="119"/>
      <c r="H65" s="119"/>
      <c r="I65" s="119"/>
      <c r="J65" s="119"/>
      <c r="Q65" s="122"/>
      <c r="R65" s="119"/>
      <c r="S65" s="119"/>
      <c r="T65" s="119"/>
      <c r="U65" s="119"/>
      <c r="V65" s="119"/>
      <c r="W65" s="119"/>
    </row>
    <row r="66" spans="1:23" x14ac:dyDescent="0.2">
      <c r="A66" s="122" t="s">
        <v>117</v>
      </c>
      <c r="B66" s="122" t="s">
        <v>705</v>
      </c>
      <c r="C66" s="115"/>
      <c r="D66" s="123" t="str">
        <f>IF(Kielivalinta="","",IF(Kielivalinta="Suomi",_xlfn.IFNA(VLOOKUP($A66,Data!$A$2:$C$612,2,FALSE),0),IF(Kielivalinta="Svenska",_xlfn.IFNA(VLOOKUP($B66,Data!$A$2:$C$612,2,FALSE),0))))</f>
        <v/>
      </c>
      <c r="E66" s="123" t="str">
        <f>IF(Kielivalinta="","",IF(Kielivalinta="Suomi",_xlfn.IFNA(VLOOKUP($A66,Data!$A$2:$C$612,3,FALSE),0),IF(Kielivalinta="Svenska",_xlfn.IFNA(VLOOKUP($B66,Data!$A$2:$C$612,3,FALSE),0))))</f>
        <v/>
      </c>
      <c r="F66" s="119"/>
      <c r="G66" s="119"/>
      <c r="H66" s="119"/>
      <c r="I66" s="119"/>
      <c r="J66" s="119"/>
      <c r="Q66" s="122"/>
      <c r="R66" s="119"/>
      <c r="S66" s="119"/>
      <c r="T66" s="119"/>
      <c r="U66" s="119"/>
      <c r="V66" s="119"/>
      <c r="W66" s="119"/>
    </row>
    <row r="67" spans="1:23" x14ac:dyDescent="0.2">
      <c r="A67" s="122" t="s">
        <v>118</v>
      </c>
      <c r="B67" s="122" t="s">
        <v>706</v>
      </c>
      <c r="C67" s="115"/>
      <c r="D67" s="123" t="str">
        <f>IF(Kielivalinta="","",IF(Kielivalinta="Suomi",_xlfn.IFNA(VLOOKUP($A67,Data!$A$2:$C$612,2,FALSE),0),IF(Kielivalinta="Svenska",_xlfn.IFNA(VLOOKUP($B67,Data!$A$2:$C$612,2,FALSE),0))))</f>
        <v/>
      </c>
      <c r="E67" s="123" t="str">
        <f>IF(Kielivalinta="","",IF(Kielivalinta="Suomi",_xlfn.IFNA(VLOOKUP($A67,Data!$A$2:$C$612,3,FALSE),0),IF(Kielivalinta="Svenska",_xlfn.IFNA(VLOOKUP($B67,Data!$A$2:$C$612,3,FALSE),0))))</f>
        <v/>
      </c>
      <c r="F67" s="119"/>
      <c r="G67" s="119"/>
      <c r="H67" s="119"/>
      <c r="I67" s="119"/>
      <c r="J67" s="119"/>
      <c r="Q67" s="122"/>
      <c r="R67" s="119"/>
      <c r="S67" s="119"/>
      <c r="T67" s="119"/>
      <c r="U67" s="119"/>
      <c r="V67" s="119"/>
      <c r="W67" s="119"/>
    </row>
    <row r="68" spans="1:23" x14ac:dyDescent="0.2">
      <c r="A68" s="119" t="s">
        <v>119</v>
      </c>
      <c r="B68" s="119" t="s">
        <v>1063</v>
      </c>
      <c r="C68" s="115"/>
      <c r="D68" s="123" t="str">
        <f>IF(Kielivalinta="","",IF(Kielivalinta="Suomi",_xlfn.IFNA(VLOOKUP($A68,Data!$A$2:$C$612,2,FALSE),0),IF(Kielivalinta="Svenska",_xlfn.IFNA(VLOOKUP($B68,Data!$A$2:$C$612,2,FALSE),0))))</f>
        <v/>
      </c>
      <c r="E68" s="123" t="str">
        <f>IF(Kielivalinta="","",IF(Kielivalinta="Suomi",_xlfn.IFNA(VLOOKUP($A68,Data!$A$2:$C$612,3,FALSE),0),IF(Kielivalinta="Svenska",_xlfn.IFNA(VLOOKUP($B68,Data!$A$2:$C$612,3,FALSE),0))))</f>
        <v/>
      </c>
      <c r="F68" s="119"/>
      <c r="G68" s="119"/>
      <c r="H68" s="119"/>
      <c r="I68" s="119"/>
      <c r="J68" s="119"/>
      <c r="Q68" s="119"/>
      <c r="R68" s="119"/>
      <c r="S68" s="119"/>
      <c r="T68" s="119"/>
      <c r="U68" s="119"/>
      <c r="V68" s="119"/>
      <c r="W68" s="119"/>
    </row>
    <row r="69" spans="1:23" x14ac:dyDescent="0.2">
      <c r="A69" s="122" t="s">
        <v>120</v>
      </c>
      <c r="B69" s="122" t="s">
        <v>707</v>
      </c>
      <c r="C69" s="115"/>
      <c r="D69" s="123" t="str">
        <f>IF(Kielivalinta="","",IF(Kielivalinta="Suomi",_xlfn.IFNA(VLOOKUP($A69,Data!$A$2:$C$612,2,FALSE),0),IF(Kielivalinta="Svenska",_xlfn.IFNA(VLOOKUP($B69,Data!$A$2:$C$612,2,FALSE),0))))</f>
        <v/>
      </c>
      <c r="E69" s="123" t="str">
        <f>IF(Kielivalinta="","",IF(Kielivalinta="Suomi",_xlfn.IFNA(VLOOKUP($A69,Data!$A$2:$C$612,3,FALSE),0),IF(Kielivalinta="Svenska",_xlfn.IFNA(VLOOKUP($B69,Data!$A$2:$C$612,3,FALSE),0))))</f>
        <v/>
      </c>
      <c r="F69" s="119"/>
      <c r="G69" s="119"/>
      <c r="H69" s="119"/>
      <c r="I69" s="119"/>
      <c r="J69" s="119"/>
      <c r="Q69" s="122"/>
      <c r="R69" s="119"/>
      <c r="S69" s="119"/>
      <c r="T69" s="119"/>
      <c r="U69" s="119"/>
      <c r="V69" s="119"/>
      <c r="W69" s="119"/>
    </row>
    <row r="70" spans="1:23" x14ac:dyDescent="0.2">
      <c r="A70" s="122" t="s">
        <v>121</v>
      </c>
      <c r="B70" s="122" t="s">
        <v>708</v>
      </c>
      <c r="C70" s="115"/>
      <c r="D70" s="123" t="str">
        <f>IF(Kielivalinta="","",IF(Kielivalinta="Suomi",_xlfn.IFNA(VLOOKUP($A70,Data!$A$2:$C$612,2,FALSE),0),IF(Kielivalinta="Svenska",_xlfn.IFNA(VLOOKUP($B70,Data!$A$2:$C$612,2,FALSE),0))))</f>
        <v/>
      </c>
      <c r="E70" s="123" t="str">
        <f>IF(Kielivalinta="","",IF(Kielivalinta="Suomi",_xlfn.IFNA(VLOOKUP($A70,Data!$A$2:$C$612,3,FALSE),0),IF(Kielivalinta="Svenska",_xlfn.IFNA(VLOOKUP($B70,Data!$A$2:$C$612,3,FALSE),0))))</f>
        <v/>
      </c>
      <c r="F70" s="119"/>
      <c r="G70" s="119"/>
      <c r="H70" s="119"/>
      <c r="I70" s="119"/>
      <c r="J70" s="119"/>
      <c r="Q70" s="122"/>
      <c r="R70" s="119"/>
      <c r="S70" s="119"/>
      <c r="T70" s="119"/>
      <c r="U70" s="119"/>
      <c r="V70" s="119"/>
      <c r="W70" s="119"/>
    </row>
    <row r="71" spans="1:23" x14ac:dyDescent="0.2">
      <c r="A71" s="119" t="s">
        <v>122</v>
      </c>
      <c r="B71" s="119" t="s">
        <v>1064</v>
      </c>
      <c r="C71" s="115"/>
      <c r="D71" s="123" t="str">
        <f>IF(Kielivalinta="","",IF(Kielivalinta="Suomi",_xlfn.IFNA(VLOOKUP($A71,Data!$A$2:$C$612,2,FALSE),0),IF(Kielivalinta="Svenska",_xlfn.IFNA(VLOOKUP($B71,Data!$A$2:$C$612,2,FALSE),0))))</f>
        <v/>
      </c>
      <c r="E71" s="123" t="str">
        <f>IF(Kielivalinta="","",IF(Kielivalinta="Suomi",_xlfn.IFNA(VLOOKUP($A71,Data!$A$2:$C$612,3,FALSE),0),IF(Kielivalinta="Svenska",_xlfn.IFNA(VLOOKUP($B71,Data!$A$2:$C$612,3,FALSE),0))))</f>
        <v/>
      </c>
      <c r="F71" s="119"/>
      <c r="G71" s="119"/>
      <c r="H71" s="119"/>
      <c r="I71" s="119"/>
      <c r="J71" s="119"/>
      <c r="Q71" s="119"/>
      <c r="R71" s="119"/>
      <c r="S71" s="119"/>
      <c r="T71" s="119"/>
      <c r="U71" s="119"/>
      <c r="V71" s="119"/>
      <c r="W71" s="119"/>
    </row>
    <row r="72" spans="1:23" x14ac:dyDescent="0.2">
      <c r="A72" s="122" t="s">
        <v>123</v>
      </c>
      <c r="B72" s="122" t="s">
        <v>709</v>
      </c>
      <c r="C72" s="115"/>
      <c r="D72" s="123" t="str">
        <f>IF(Kielivalinta="","",IF(Kielivalinta="Suomi",_xlfn.IFNA(VLOOKUP($A72,Data!$A$2:$C$612,2,FALSE),0),IF(Kielivalinta="Svenska",_xlfn.IFNA(VLOOKUP($B72,Data!$A$2:$C$612,2,FALSE),0))))</f>
        <v/>
      </c>
      <c r="E72" s="123" t="str">
        <f>IF(Kielivalinta="","",IF(Kielivalinta="Suomi",_xlfn.IFNA(VLOOKUP($A72,Data!$A$2:$C$612,3,FALSE),0),IF(Kielivalinta="Svenska",_xlfn.IFNA(VLOOKUP($B72,Data!$A$2:$C$612,3,FALSE),0))))</f>
        <v/>
      </c>
      <c r="F72" s="119"/>
      <c r="G72" s="119"/>
      <c r="H72" s="119"/>
      <c r="I72" s="119"/>
      <c r="J72" s="119"/>
      <c r="Q72" s="122"/>
      <c r="R72" s="119"/>
      <c r="S72" s="119"/>
      <c r="T72" s="119"/>
      <c r="U72" s="119"/>
      <c r="V72" s="119"/>
      <c r="W72" s="119"/>
    </row>
    <row r="73" spans="1:23" x14ac:dyDescent="0.2">
      <c r="A73" s="122" t="s">
        <v>124</v>
      </c>
      <c r="B73" s="122" t="s">
        <v>710</v>
      </c>
      <c r="C73" s="115"/>
      <c r="D73" s="123" t="str">
        <f>IF(Kielivalinta="","",IF(Kielivalinta="Suomi",_xlfn.IFNA(VLOOKUP($A73,Data!$A$2:$C$612,2,FALSE),0),IF(Kielivalinta="Svenska",_xlfn.IFNA(VLOOKUP($B73,Data!$A$2:$C$612,2,FALSE),0))))</f>
        <v/>
      </c>
      <c r="E73" s="123" t="str">
        <f>IF(Kielivalinta="","",IF(Kielivalinta="Suomi",_xlfn.IFNA(VLOOKUP($A73,Data!$A$2:$C$612,3,FALSE),0),IF(Kielivalinta="Svenska",_xlfn.IFNA(VLOOKUP($B73,Data!$A$2:$C$612,3,FALSE),0))))</f>
        <v/>
      </c>
      <c r="F73" s="119"/>
      <c r="G73" s="119"/>
      <c r="H73" s="119"/>
      <c r="I73" s="119"/>
      <c r="J73" s="119"/>
      <c r="Q73" s="122"/>
      <c r="R73" s="119"/>
      <c r="S73" s="119"/>
      <c r="T73" s="119"/>
      <c r="U73" s="119"/>
      <c r="V73" s="119"/>
      <c r="W73" s="119"/>
    </row>
    <row r="74" spans="1:23" x14ac:dyDescent="0.2">
      <c r="A74" s="122" t="s">
        <v>125</v>
      </c>
      <c r="B74" s="122" t="s">
        <v>711</v>
      </c>
      <c r="C74" s="115"/>
      <c r="D74" s="123" t="str">
        <f>IF(Kielivalinta="","",IF(Kielivalinta="Suomi",_xlfn.IFNA(VLOOKUP($A74,Data!$A$2:$C$612,2,FALSE),0),IF(Kielivalinta="Svenska",_xlfn.IFNA(VLOOKUP($B74,Data!$A$2:$C$612,2,FALSE),0))))</f>
        <v/>
      </c>
      <c r="E74" s="123" t="str">
        <f>IF(Kielivalinta="","",IF(Kielivalinta="Suomi",_xlfn.IFNA(VLOOKUP($A74,Data!$A$2:$C$612,3,FALSE),0),IF(Kielivalinta="Svenska",_xlfn.IFNA(VLOOKUP($B74,Data!$A$2:$C$612,3,FALSE),0))))</f>
        <v/>
      </c>
      <c r="F74" s="119"/>
      <c r="G74" s="119"/>
      <c r="H74" s="119"/>
      <c r="I74" s="119"/>
      <c r="J74" s="119"/>
      <c r="Q74" s="122"/>
      <c r="R74" s="119"/>
      <c r="S74" s="119"/>
      <c r="T74" s="119"/>
      <c r="U74" s="119"/>
      <c r="V74" s="119"/>
      <c r="W74" s="119"/>
    </row>
    <row r="75" spans="1:23" x14ac:dyDescent="0.2">
      <c r="A75" s="119" t="s">
        <v>126</v>
      </c>
      <c r="B75" s="119" t="s">
        <v>1065</v>
      </c>
      <c r="C75" s="115"/>
      <c r="D75" s="123" t="str">
        <f>IF(Kielivalinta="","",IF(Kielivalinta="Suomi",_xlfn.IFNA(VLOOKUP($A75,Data!$A$2:$C$612,2,FALSE),0),IF(Kielivalinta="Svenska",_xlfn.IFNA(VLOOKUP($B75,Data!$A$2:$C$612,2,FALSE),0))))</f>
        <v/>
      </c>
      <c r="E75" s="123" t="str">
        <f>IF(Kielivalinta="","",IF(Kielivalinta="Suomi",_xlfn.IFNA(VLOOKUP($A75,Data!$A$2:$C$612,3,FALSE),0),IF(Kielivalinta="Svenska",_xlfn.IFNA(VLOOKUP($B75,Data!$A$2:$C$612,3,FALSE),0))))</f>
        <v/>
      </c>
      <c r="F75" s="119"/>
      <c r="G75" s="119"/>
      <c r="H75" s="119"/>
      <c r="I75" s="119"/>
      <c r="J75" s="119"/>
      <c r="Q75" s="119"/>
      <c r="R75" s="119"/>
      <c r="S75" s="119"/>
      <c r="T75" s="119"/>
      <c r="U75" s="119"/>
      <c r="V75" s="119"/>
      <c r="W75" s="119"/>
    </row>
    <row r="76" spans="1:23" x14ac:dyDescent="0.2">
      <c r="A76" s="122" t="s">
        <v>127</v>
      </c>
      <c r="B76" s="122" t="s">
        <v>712</v>
      </c>
      <c r="C76" s="115"/>
      <c r="D76" s="123" t="str">
        <f>IF(Kielivalinta="","",IF(Kielivalinta="Suomi",_xlfn.IFNA(VLOOKUP($A76,Data!$A$2:$C$612,2,FALSE),0),IF(Kielivalinta="Svenska",_xlfn.IFNA(VLOOKUP($B76,Data!$A$2:$C$612,2,FALSE),0))))</f>
        <v/>
      </c>
      <c r="E76" s="123" t="str">
        <f>IF(Kielivalinta="","",IF(Kielivalinta="Suomi",_xlfn.IFNA(VLOOKUP($A76,Data!$A$2:$C$612,3,FALSE),0),IF(Kielivalinta="Svenska",_xlfn.IFNA(VLOOKUP($B76,Data!$A$2:$C$612,3,FALSE),0))))</f>
        <v/>
      </c>
      <c r="F76" s="119"/>
      <c r="G76" s="119"/>
      <c r="H76" s="119"/>
      <c r="I76" s="119"/>
      <c r="J76" s="119"/>
      <c r="Q76" s="122"/>
      <c r="R76" s="119"/>
      <c r="S76" s="119"/>
      <c r="T76" s="119"/>
      <c r="U76" s="119"/>
      <c r="V76" s="119"/>
      <c r="W76" s="119"/>
    </row>
    <row r="77" spans="1:23" x14ac:dyDescent="0.2">
      <c r="A77" s="119" t="s">
        <v>128</v>
      </c>
      <c r="B77" s="119" t="s">
        <v>1066</v>
      </c>
      <c r="C77" s="115"/>
      <c r="D77" s="123" t="str">
        <f>IF(Kielivalinta="","",IF(Kielivalinta="Suomi",_xlfn.IFNA(VLOOKUP($A77,Data!$A$2:$C$612,2,FALSE),0),IF(Kielivalinta="Svenska",_xlfn.IFNA(VLOOKUP($B77,Data!$A$2:$C$612,2,FALSE),0))))</f>
        <v/>
      </c>
      <c r="E77" s="123" t="str">
        <f>IF(Kielivalinta="","",IF(Kielivalinta="Suomi",_xlfn.IFNA(VLOOKUP($A77,Data!$A$2:$C$612,3,FALSE),0),IF(Kielivalinta="Svenska",_xlfn.IFNA(VLOOKUP($B77,Data!$A$2:$C$612,3,FALSE),0))))</f>
        <v/>
      </c>
      <c r="F77" s="119"/>
      <c r="G77" s="119"/>
      <c r="H77" s="119"/>
      <c r="I77" s="119"/>
      <c r="J77" s="119"/>
      <c r="Q77" s="119"/>
      <c r="R77" s="119"/>
      <c r="S77" s="119"/>
      <c r="T77" s="119"/>
      <c r="U77" s="119"/>
      <c r="V77" s="119"/>
      <c r="W77" s="119"/>
    </row>
    <row r="78" spans="1:23" x14ac:dyDescent="0.2">
      <c r="A78" s="119" t="s">
        <v>129</v>
      </c>
      <c r="B78" s="119" t="s">
        <v>1067</v>
      </c>
      <c r="C78" s="115"/>
      <c r="D78" s="123" t="str">
        <f>IF(Kielivalinta="","",IF(Kielivalinta="Suomi",_xlfn.IFNA(VLOOKUP($A78,Data!$A$2:$C$612,2,FALSE),0),IF(Kielivalinta="Svenska",_xlfn.IFNA(VLOOKUP($B78,Data!$A$2:$C$612,2,FALSE),0))))</f>
        <v/>
      </c>
      <c r="E78" s="123" t="str">
        <f>IF(Kielivalinta="","",IF(Kielivalinta="Suomi",_xlfn.IFNA(VLOOKUP($A78,Data!$A$2:$C$612,3,FALSE),0),IF(Kielivalinta="Svenska",_xlfn.IFNA(VLOOKUP($B78,Data!$A$2:$C$612,3,FALSE),0))))</f>
        <v/>
      </c>
      <c r="F78" s="119"/>
      <c r="G78" s="119"/>
      <c r="H78" s="119"/>
      <c r="I78" s="119"/>
      <c r="J78" s="119"/>
      <c r="Q78" s="119"/>
      <c r="R78" s="119"/>
      <c r="S78" s="119"/>
      <c r="T78" s="119"/>
      <c r="U78" s="119"/>
      <c r="V78" s="119"/>
      <c r="W78" s="119"/>
    </row>
    <row r="79" spans="1:23" x14ac:dyDescent="0.2">
      <c r="A79" s="119" t="s">
        <v>130</v>
      </c>
      <c r="B79" s="119" t="s">
        <v>1068</v>
      </c>
      <c r="C79" s="115"/>
      <c r="D79" s="123" t="str">
        <f>IF(Kielivalinta="","",IF(Kielivalinta="Suomi",_xlfn.IFNA(VLOOKUP($A79,Data!$A$2:$C$612,2,FALSE),0),IF(Kielivalinta="Svenska",_xlfn.IFNA(VLOOKUP($B79,Data!$A$2:$C$612,2,FALSE),0))))</f>
        <v/>
      </c>
      <c r="E79" s="123" t="str">
        <f>IF(Kielivalinta="","",IF(Kielivalinta="Suomi",_xlfn.IFNA(VLOOKUP($A79,Data!$A$2:$C$612,3,FALSE),0),IF(Kielivalinta="Svenska",_xlfn.IFNA(VLOOKUP($B79,Data!$A$2:$C$612,3,FALSE),0))))</f>
        <v/>
      </c>
      <c r="F79" s="119"/>
      <c r="G79" s="119"/>
      <c r="H79" s="119"/>
      <c r="I79" s="119"/>
      <c r="J79" s="119"/>
      <c r="Q79" s="119"/>
      <c r="R79" s="119"/>
      <c r="S79" s="119"/>
      <c r="T79" s="119"/>
      <c r="U79" s="119"/>
      <c r="V79" s="119"/>
      <c r="W79" s="119"/>
    </row>
    <row r="80" spans="1:23" x14ac:dyDescent="0.2">
      <c r="A80" s="119" t="s">
        <v>131</v>
      </c>
      <c r="B80" s="119" t="s">
        <v>1069</v>
      </c>
      <c r="C80" s="115"/>
      <c r="D80" s="123" t="str">
        <f>IF(Kielivalinta="","",IF(Kielivalinta="Suomi",_xlfn.IFNA(VLOOKUP($A80,Data!$A$2:$C$612,2,FALSE),0),IF(Kielivalinta="Svenska",_xlfn.IFNA(VLOOKUP($B80,Data!$A$2:$C$612,2,FALSE),0))))</f>
        <v/>
      </c>
      <c r="E80" s="123" t="str">
        <f>IF(Kielivalinta="","",IF(Kielivalinta="Suomi",_xlfn.IFNA(VLOOKUP($A80,Data!$A$2:$C$612,3,FALSE),0),IF(Kielivalinta="Svenska",_xlfn.IFNA(VLOOKUP($B80,Data!$A$2:$C$612,3,FALSE),0))))</f>
        <v/>
      </c>
      <c r="F80" s="119"/>
      <c r="G80" s="119"/>
      <c r="H80" s="119"/>
      <c r="I80" s="119"/>
      <c r="J80" s="119"/>
      <c r="Q80" s="119"/>
      <c r="R80" s="119"/>
      <c r="S80" s="119"/>
      <c r="T80" s="119"/>
      <c r="U80" s="119"/>
      <c r="V80" s="119"/>
      <c r="W80" s="119"/>
    </row>
    <row r="81" spans="1:23" x14ac:dyDescent="0.2">
      <c r="A81" s="119" t="s">
        <v>132</v>
      </c>
      <c r="B81" s="119" t="s">
        <v>1070</v>
      </c>
      <c r="C81" s="115"/>
      <c r="D81" s="123" t="str">
        <f>IF(Kielivalinta="","",IF(Kielivalinta="Suomi",_xlfn.IFNA(VLOOKUP($A81,Data!$A$2:$C$612,2,FALSE),0),IF(Kielivalinta="Svenska",_xlfn.IFNA(VLOOKUP($B81,Data!$A$2:$C$612,2,FALSE),0))))</f>
        <v/>
      </c>
      <c r="E81" s="123" t="str">
        <f>IF(Kielivalinta="","",IF(Kielivalinta="Suomi",_xlfn.IFNA(VLOOKUP($A81,Data!$A$2:$C$612,3,FALSE),0),IF(Kielivalinta="Svenska",_xlfn.IFNA(VLOOKUP($B81,Data!$A$2:$C$612,3,FALSE),0))))</f>
        <v/>
      </c>
      <c r="F81" s="119"/>
      <c r="G81" s="119"/>
      <c r="H81" s="119"/>
      <c r="I81" s="119"/>
      <c r="J81" s="119"/>
      <c r="Q81" s="119"/>
      <c r="R81" s="119"/>
      <c r="S81" s="119"/>
      <c r="T81" s="119"/>
      <c r="U81" s="119"/>
      <c r="V81" s="119"/>
      <c r="W81" s="119"/>
    </row>
    <row r="82" spans="1:23" x14ac:dyDescent="0.2">
      <c r="A82" s="119" t="s">
        <v>133</v>
      </c>
      <c r="B82" s="119" t="s">
        <v>1071</v>
      </c>
      <c r="C82" s="115"/>
      <c r="D82" s="123" t="str">
        <f>IF(Kielivalinta="","",IF(Kielivalinta="Suomi",_xlfn.IFNA(VLOOKUP($A82,Data!$A$2:$C$612,2,FALSE),0),IF(Kielivalinta="Svenska",_xlfn.IFNA(VLOOKUP($B82,Data!$A$2:$C$612,2,FALSE),0))))</f>
        <v/>
      </c>
      <c r="E82" s="123" t="str">
        <f>IF(Kielivalinta="","",IF(Kielivalinta="Suomi",_xlfn.IFNA(VLOOKUP($A82,Data!$A$2:$C$612,3,FALSE),0),IF(Kielivalinta="Svenska",_xlfn.IFNA(VLOOKUP($B82,Data!$A$2:$C$612,3,FALSE),0))))</f>
        <v/>
      </c>
      <c r="F82" s="119"/>
      <c r="G82" s="119"/>
      <c r="H82" s="119"/>
      <c r="I82" s="119"/>
      <c r="J82" s="119"/>
      <c r="Q82" s="119"/>
      <c r="R82" s="119"/>
      <c r="S82" s="119"/>
      <c r="T82" s="119"/>
      <c r="U82" s="119"/>
      <c r="V82" s="119"/>
      <c r="W82" s="119"/>
    </row>
    <row r="83" spans="1:23" x14ac:dyDescent="0.2">
      <c r="A83" s="119" t="s">
        <v>134</v>
      </c>
      <c r="B83" s="119" t="s">
        <v>1072</v>
      </c>
      <c r="C83" s="115"/>
      <c r="D83" s="123" t="str">
        <f>IF(Kielivalinta="","",IF(Kielivalinta="Suomi",_xlfn.IFNA(VLOOKUP($A83,Data!$A$2:$C$612,2,FALSE),0),IF(Kielivalinta="Svenska",_xlfn.IFNA(VLOOKUP($B83,Data!$A$2:$C$612,2,FALSE),0))))</f>
        <v/>
      </c>
      <c r="E83" s="123" t="str">
        <f>IF(Kielivalinta="","",IF(Kielivalinta="Suomi",_xlfn.IFNA(VLOOKUP($A83,Data!$A$2:$C$612,3,FALSE),0),IF(Kielivalinta="Svenska",_xlfn.IFNA(VLOOKUP($B83,Data!$A$2:$C$612,3,FALSE),0))))</f>
        <v/>
      </c>
      <c r="F83" s="119"/>
      <c r="G83" s="119"/>
      <c r="H83" s="119"/>
      <c r="I83" s="119"/>
      <c r="J83" s="119"/>
      <c r="Q83" s="119"/>
      <c r="R83" s="119"/>
      <c r="S83" s="119"/>
      <c r="T83" s="119"/>
      <c r="U83" s="119"/>
      <c r="V83" s="119"/>
      <c r="W83" s="119"/>
    </row>
    <row r="84" spans="1:23" x14ac:dyDescent="0.2">
      <c r="A84" s="119" t="s">
        <v>135</v>
      </c>
      <c r="B84" s="119" t="s">
        <v>1073</v>
      </c>
      <c r="C84" s="115"/>
      <c r="D84" s="123" t="str">
        <f>IF(Kielivalinta="","",IF(Kielivalinta="Suomi",_xlfn.IFNA(VLOOKUP($A84,Data!$A$2:$C$612,2,FALSE),0),IF(Kielivalinta="Svenska",_xlfn.IFNA(VLOOKUP($B84,Data!$A$2:$C$612,2,FALSE),0))))</f>
        <v/>
      </c>
      <c r="E84" s="123" t="str">
        <f>IF(Kielivalinta="","",IF(Kielivalinta="Suomi",_xlfn.IFNA(VLOOKUP($A84,Data!$A$2:$C$612,3,FALSE),0),IF(Kielivalinta="Svenska",_xlfn.IFNA(VLOOKUP($B84,Data!$A$2:$C$612,3,FALSE),0))))</f>
        <v/>
      </c>
      <c r="F84" s="119"/>
      <c r="G84" s="119"/>
      <c r="H84" s="119"/>
      <c r="I84" s="119"/>
      <c r="J84" s="119"/>
      <c r="Q84" s="119"/>
      <c r="R84" s="119"/>
      <c r="S84" s="119"/>
      <c r="T84" s="119"/>
      <c r="U84" s="119"/>
      <c r="V84" s="119"/>
      <c r="W84" s="119"/>
    </row>
    <row r="85" spans="1:23" x14ac:dyDescent="0.2">
      <c r="A85" s="122" t="s">
        <v>136</v>
      </c>
      <c r="B85" s="122" t="s">
        <v>713</v>
      </c>
      <c r="C85" s="115"/>
      <c r="D85" s="123" t="str">
        <f>IF(Kielivalinta="","",IF(Kielivalinta="Suomi",_xlfn.IFNA(VLOOKUP($A85,Data!$A$2:$C$612,2,FALSE),0),IF(Kielivalinta="Svenska",_xlfn.IFNA(VLOOKUP($B85,Data!$A$2:$C$612,2,FALSE),0))))</f>
        <v/>
      </c>
      <c r="E85" s="123" t="str">
        <f>IF(Kielivalinta="","",IF(Kielivalinta="Suomi",_xlfn.IFNA(VLOOKUP($A85,Data!$A$2:$C$612,3,FALSE),0),IF(Kielivalinta="Svenska",_xlfn.IFNA(VLOOKUP($B85,Data!$A$2:$C$612,3,FALSE),0))))</f>
        <v/>
      </c>
      <c r="F85" s="119"/>
      <c r="G85" s="119"/>
      <c r="H85" s="119"/>
      <c r="I85" s="119"/>
      <c r="J85" s="119"/>
      <c r="Q85" s="122"/>
      <c r="R85" s="119"/>
      <c r="S85" s="119"/>
      <c r="T85" s="119"/>
      <c r="U85" s="119"/>
      <c r="V85" s="119"/>
      <c r="W85" s="119"/>
    </row>
    <row r="86" spans="1:23" x14ac:dyDescent="0.2">
      <c r="A86" s="122" t="s">
        <v>137</v>
      </c>
      <c r="B86" s="122" t="s">
        <v>714</v>
      </c>
      <c r="C86" s="115"/>
      <c r="D86" s="123" t="str">
        <f>IF(Kielivalinta="","",IF(Kielivalinta="Suomi",_xlfn.IFNA(VLOOKUP($A86,Data!$A$2:$C$612,2,FALSE),0),IF(Kielivalinta="Svenska",_xlfn.IFNA(VLOOKUP($B86,Data!$A$2:$C$612,2,FALSE),0))))</f>
        <v/>
      </c>
      <c r="E86" s="123" t="str">
        <f>IF(Kielivalinta="","",IF(Kielivalinta="Suomi",_xlfn.IFNA(VLOOKUP($A86,Data!$A$2:$C$612,3,FALSE),0),IF(Kielivalinta="Svenska",_xlfn.IFNA(VLOOKUP($B86,Data!$A$2:$C$612,3,FALSE),0))))</f>
        <v/>
      </c>
      <c r="F86" s="119"/>
      <c r="G86" s="119"/>
      <c r="H86" s="119"/>
      <c r="I86" s="119"/>
      <c r="J86" s="119"/>
      <c r="Q86" s="122"/>
      <c r="R86" s="119"/>
      <c r="S86" s="119"/>
      <c r="T86" s="119"/>
      <c r="U86" s="119"/>
      <c r="V86" s="119"/>
      <c r="W86" s="119"/>
    </row>
    <row r="87" spans="1:23" x14ac:dyDescent="0.2">
      <c r="A87" s="119" t="s">
        <v>138</v>
      </c>
      <c r="B87" s="119" t="s">
        <v>1074</v>
      </c>
      <c r="C87" s="115"/>
      <c r="D87" s="123" t="str">
        <f>IF(Kielivalinta="","",IF(Kielivalinta="Suomi",_xlfn.IFNA(VLOOKUP($A87,Data!$A$2:$C$612,2,FALSE),0),IF(Kielivalinta="Svenska",_xlfn.IFNA(VLOOKUP($B87,Data!$A$2:$C$612,2,FALSE),0))))</f>
        <v/>
      </c>
      <c r="E87" s="123" t="str">
        <f>IF(Kielivalinta="","",IF(Kielivalinta="Suomi",_xlfn.IFNA(VLOOKUP($A87,Data!$A$2:$C$612,3,FALSE),0),IF(Kielivalinta="Svenska",_xlfn.IFNA(VLOOKUP($B87,Data!$A$2:$C$612,3,FALSE),0))))</f>
        <v/>
      </c>
      <c r="F87" s="119"/>
      <c r="G87" s="119"/>
      <c r="H87" s="119"/>
      <c r="I87" s="119"/>
      <c r="J87" s="119"/>
      <c r="Q87" s="119"/>
      <c r="R87" s="119"/>
      <c r="S87" s="119"/>
      <c r="T87" s="119"/>
      <c r="U87" s="119"/>
      <c r="V87" s="119"/>
      <c r="W87" s="119"/>
    </row>
    <row r="88" spans="1:23" x14ac:dyDescent="0.2">
      <c r="A88" s="122" t="s">
        <v>139</v>
      </c>
      <c r="B88" s="122" t="s">
        <v>715</v>
      </c>
      <c r="C88" s="115"/>
      <c r="D88" s="123" t="str">
        <f>IF(Kielivalinta="","",IF(Kielivalinta="Suomi",_xlfn.IFNA(VLOOKUP($A88,Data!$A$2:$C$612,2,FALSE),0),IF(Kielivalinta="Svenska",_xlfn.IFNA(VLOOKUP($B88,Data!$A$2:$C$612,2,FALSE),0))))</f>
        <v/>
      </c>
      <c r="E88" s="123" t="str">
        <f>IF(Kielivalinta="","",IF(Kielivalinta="Suomi",_xlfn.IFNA(VLOOKUP($A88,Data!$A$2:$C$612,3,FALSE),0),IF(Kielivalinta="Svenska",_xlfn.IFNA(VLOOKUP($B88,Data!$A$2:$C$612,3,FALSE),0))))</f>
        <v/>
      </c>
      <c r="F88" s="119"/>
      <c r="G88" s="119"/>
      <c r="H88" s="119"/>
      <c r="I88" s="119"/>
      <c r="J88" s="119"/>
      <c r="Q88" s="122"/>
      <c r="R88" s="119"/>
      <c r="S88" s="119"/>
      <c r="T88" s="119"/>
      <c r="U88" s="119"/>
      <c r="V88" s="119"/>
      <c r="W88" s="119"/>
    </row>
    <row r="89" spans="1:23" x14ac:dyDescent="0.2">
      <c r="A89" s="122" t="s">
        <v>140</v>
      </c>
      <c r="B89" s="122" t="s">
        <v>716</v>
      </c>
      <c r="C89" s="115"/>
      <c r="D89" s="123" t="str">
        <f>IF(Kielivalinta="","",IF(Kielivalinta="Suomi",_xlfn.IFNA(VLOOKUP($A89,Data!$A$2:$C$612,2,FALSE),0),IF(Kielivalinta="Svenska",_xlfn.IFNA(VLOOKUP($B89,Data!$A$2:$C$612,2,FALSE),0))))</f>
        <v/>
      </c>
      <c r="E89" s="123" t="str">
        <f>IF(Kielivalinta="","",IF(Kielivalinta="Suomi",_xlfn.IFNA(VLOOKUP($A89,Data!$A$2:$C$612,3,FALSE),0),IF(Kielivalinta="Svenska",_xlfn.IFNA(VLOOKUP($B89,Data!$A$2:$C$612,3,FALSE),0))))</f>
        <v/>
      </c>
      <c r="F89" s="119"/>
      <c r="G89" s="119"/>
      <c r="H89" s="119"/>
      <c r="I89" s="119"/>
      <c r="J89" s="119"/>
      <c r="Q89" s="122"/>
      <c r="R89" s="119"/>
      <c r="S89" s="119"/>
      <c r="T89" s="119"/>
      <c r="U89" s="119"/>
      <c r="V89" s="119"/>
      <c r="W89" s="119"/>
    </row>
    <row r="90" spans="1:23" x14ac:dyDescent="0.2">
      <c r="A90" s="122" t="s">
        <v>141</v>
      </c>
      <c r="B90" s="122" t="s">
        <v>717</v>
      </c>
      <c r="C90" s="115"/>
      <c r="D90" s="123" t="str">
        <f>IF(Kielivalinta="","",IF(Kielivalinta="Suomi",_xlfn.IFNA(VLOOKUP($A90,Data!$A$2:$C$612,2,FALSE),0),IF(Kielivalinta="Svenska",_xlfn.IFNA(VLOOKUP($B90,Data!$A$2:$C$612,2,FALSE),0))))</f>
        <v/>
      </c>
      <c r="E90" s="123" t="str">
        <f>IF(Kielivalinta="","",IF(Kielivalinta="Suomi",_xlfn.IFNA(VLOOKUP($A90,Data!$A$2:$C$612,3,FALSE),0),IF(Kielivalinta="Svenska",_xlfn.IFNA(VLOOKUP($B90,Data!$A$2:$C$612,3,FALSE),0))))</f>
        <v/>
      </c>
      <c r="F90" s="119"/>
      <c r="G90" s="119"/>
      <c r="H90" s="119"/>
      <c r="I90" s="119"/>
      <c r="J90" s="119"/>
      <c r="Q90" s="122"/>
      <c r="R90" s="119"/>
      <c r="S90" s="119"/>
      <c r="T90" s="119"/>
      <c r="U90" s="119"/>
      <c r="V90" s="119"/>
      <c r="W90" s="119"/>
    </row>
    <row r="91" spans="1:23" x14ac:dyDescent="0.2">
      <c r="A91" s="122" t="s">
        <v>142</v>
      </c>
      <c r="B91" s="122" t="s">
        <v>718</v>
      </c>
      <c r="C91" s="115"/>
      <c r="D91" s="123" t="str">
        <f>IF(Kielivalinta="","",IF(Kielivalinta="Suomi",_xlfn.IFNA(VLOOKUP($A91,Data!$A$2:$C$612,2,FALSE),0),IF(Kielivalinta="Svenska",_xlfn.IFNA(VLOOKUP($B91,Data!$A$2:$C$612,2,FALSE),0))))</f>
        <v/>
      </c>
      <c r="E91" s="123" t="str">
        <f>IF(Kielivalinta="","",IF(Kielivalinta="Suomi",_xlfn.IFNA(VLOOKUP($A91,Data!$A$2:$C$612,3,FALSE),0),IF(Kielivalinta="Svenska",_xlfn.IFNA(VLOOKUP($B91,Data!$A$2:$C$612,3,FALSE),0))))</f>
        <v/>
      </c>
      <c r="F91" s="119"/>
      <c r="G91" s="119"/>
      <c r="H91" s="119"/>
      <c r="I91" s="119"/>
      <c r="J91" s="119"/>
      <c r="Q91" s="122"/>
      <c r="R91" s="119"/>
      <c r="S91" s="119"/>
      <c r="T91" s="119"/>
      <c r="U91" s="119"/>
      <c r="V91" s="119"/>
      <c r="W91" s="119"/>
    </row>
    <row r="92" spans="1:23" x14ac:dyDescent="0.2">
      <c r="A92" s="122" t="s">
        <v>143</v>
      </c>
      <c r="B92" s="122" t="s">
        <v>719</v>
      </c>
      <c r="C92" s="115"/>
      <c r="D92" s="123" t="str">
        <f>IF(Kielivalinta="","",IF(Kielivalinta="Suomi",_xlfn.IFNA(VLOOKUP($A92,Data!$A$2:$C$612,2,FALSE),0),IF(Kielivalinta="Svenska",_xlfn.IFNA(VLOOKUP($B92,Data!$A$2:$C$612,2,FALSE),0))))</f>
        <v/>
      </c>
      <c r="E92" s="123" t="str">
        <f>IF(Kielivalinta="","",IF(Kielivalinta="Suomi",_xlfn.IFNA(VLOOKUP($A92,Data!$A$2:$C$612,3,FALSE),0),IF(Kielivalinta="Svenska",_xlfn.IFNA(VLOOKUP($B92,Data!$A$2:$C$612,3,FALSE),0))))</f>
        <v/>
      </c>
      <c r="F92" s="119"/>
      <c r="G92" s="119"/>
      <c r="H92" s="119"/>
      <c r="I92" s="119"/>
      <c r="J92" s="119"/>
      <c r="Q92" s="122"/>
      <c r="R92" s="119"/>
      <c r="S92" s="119"/>
      <c r="T92" s="119"/>
      <c r="U92" s="119"/>
      <c r="V92" s="119"/>
      <c r="W92" s="119"/>
    </row>
    <row r="93" spans="1:23" x14ac:dyDescent="0.2">
      <c r="A93" s="119" t="s">
        <v>144</v>
      </c>
      <c r="B93" s="119" t="s">
        <v>1075</v>
      </c>
      <c r="C93" s="115"/>
      <c r="D93" s="123" t="str">
        <f>IF(Kielivalinta="","",IF(Kielivalinta="Suomi",_xlfn.IFNA(VLOOKUP($A93,Data!$A$2:$C$612,2,FALSE),0),IF(Kielivalinta="Svenska",_xlfn.IFNA(VLOOKUP($B93,Data!$A$2:$C$612,2,FALSE),0))))</f>
        <v/>
      </c>
      <c r="E93" s="123" t="str">
        <f>IF(Kielivalinta="","",IF(Kielivalinta="Suomi",_xlfn.IFNA(VLOOKUP($A93,Data!$A$2:$C$612,3,FALSE),0),IF(Kielivalinta="Svenska",_xlfn.IFNA(VLOOKUP($B93,Data!$A$2:$C$612,3,FALSE),0))))</f>
        <v/>
      </c>
      <c r="F93" s="119"/>
      <c r="G93" s="119"/>
      <c r="H93" s="119"/>
      <c r="I93" s="119"/>
      <c r="J93" s="119"/>
      <c r="Q93" s="119"/>
      <c r="R93" s="119"/>
      <c r="S93" s="119"/>
      <c r="T93" s="119"/>
      <c r="U93" s="119"/>
      <c r="V93" s="119"/>
      <c r="W93" s="119"/>
    </row>
    <row r="94" spans="1:23" x14ac:dyDescent="0.2">
      <c r="A94" s="122" t="s">
        <v>145</v>
      </c>
      <c r="B94" s="122" t="s">
        <v>720</v>
      </c>
      <c r="C94" s="115"/>
      <c r="D94" s="123" t="str">
        <f>IF(Kielivalinta="","",IF(Kielivalinta="Suomi",_xlfn.IFNA(VLOOKUP($A94,Data!$A$2:$C$612,2,FALSE),0),IF(Kielivalinta="Svenska",_xlfn.IFNA(VLOOKUP($B94,Data!$A$2:$C$612,2,FALSE),0))))</f>
        <v/>
      </c>
      <c r="E94" s="123" t="str">
        <f>IF(Kielivalinta="","",IF(Kielivalinta="Suomi",_xlfn.IFNA(VLOOKUP($A94,Data!$A$2:$C$612,3,FALSE),0),IF(Kielivalinta="Svenska",_xlfn.IFNA(VLOOKUP($B94,Data!$A$2:$C$612,3,FALSE),0))))</f>
        <v/>
      </c>
      <c r="F94" s="119"/>
      <c r="G94" s="119"/>
      <c r="H94" s="119"/>
      <c r="I94" s="119"/>
      <c r="J94" s="119"/>
      <c r="Q94" s="122"/>
      <c r="R94" s="119"/>
      <c r="S94" s="119"/>
      <c r="T94" s="119"/>
      <c r="U94" s="119"/>
      <c r="V94" s="119"/>
      <c r="W94" s="119"/>
    </row>
    <row r="95" spans="1:23" x14ac:dyDescent="0.2">
      <c r="A95" s="122" t="s">
        <v>146</v>
      </c>
      <c r="B95" s="122" t="s">
        <v>721</v>
      </c>
      <c r="C95" s="115"/>
      <c r="D95" s="123" t="str">
        <f>IF(Kielivalinta="","",IF(Kielivalinta="Suomi",_xlfn.IFNA(VLOOKUP($A95,Data!$A$2:$C$612,2,FALSE),0),IF(Kielivalinta="Svenska",_xlfn.IFNA(VLOOKUP($B95,Data!$A$2:$C$612,2,FALSE),0))))</f>
        <v/>
      </c>
      <c r="E95" s="123" t="str">
        <f>IF(Kielivalinta="","",IF(Kielivalinta="Suomi",_xlfn.IFNA(VLOOKUP($A95,Data!$A$2:$C$612,3,FALSE),0),IF(Kielivalinta="Svenska",_xlfn.IFNA(VLOOKUP($B95,Data!$A$2:$C$612,3,FALSE),0))))</f>
        <v/>
      </c>
      <c r="F95" s="119"/>
      <c r="G95" s="119"/>
      <c r="H95" s="119"/>
      <c r="I95" s="119"/>
      <c r="J95" s="119"/>
      <c r="Q95" s="122"/>
      <c r="R95" s="119"/>
      <c r="S95" s="119"/>
      <c r="T95" s="119"/>
      <c r="U95" s="119"/>
      <c r="V95" s="119"/>
      <c r="W95" s="119"/>
    </row>
    <row r="96" spans="1:23" x14ac:dyDescent="0.2">
      <c r="A96" s="119" t="s">
        <v>147</v>
      </c>
      <c r="B96" s="119" t="s">
        <v>1076</v>
      </c>
      <c r="C96" s="115"/>
      <c r="D96" s="123" t="str">
        <f>IF(Kielivalinta="","",IF(Kielivalinta="Suomi",_xlfn.IFNA(VLOOKUP($A96,Data!$A$2:$C$612,2,FALSE),0),IF(Kielivalinta="Svenska",_xlfn.IFNA(VLOOKUP($B96,Data!$A$2:$C$612,2,FALSE),0))))</f>
        <v/>
      </c>
      <c r="E96" s="123" t="str">
        <f>IF(Kielivalinta="","",IF(Kielivalinta="Suomi",_xlfn.IFNA(VLOOKUP($A96,Data!$A$2:$C$612,3,FALSE),0),IF(Kielivalinta="Svenska",_xlfn.IFNA(VLOOKUP($B96,Data!$A$2:$C$612,3,FALSE),0))))</f>
        <v/>
      </c>
      <c r="F96" s="119"/>
      <c r="G96" s="119"/>
      <c r="H96" s="119"/>
      <c r="I96" s="119"/>
      <c r="J96" s="119"/>
      <c r="Q96" s="119"/>
      <c r="R96" s="119"/>
      <c r="S96" s="119"/>
      <c r="T96" s="119"/>
      <c r="U96" s="119"/>
      <c r="V96" s="119"/>
      <c r="W96" s="119"/>
    </row>
    <row r="97" spans="1:23" x14ac:dyDescent="0.2">
      <c r="A97" s="119" t="s">
        <v>148</v>
      </c>
      <c r="B97" s="119" t="s">
        <v>1077</v>
      </c>
      <c r="C97" s="115"/>
      <c r="D97" s="123" t="str">
        <f>IF(Kielivalinta="","",IF(Kielivalinta="Suomi",_xlfn.IFNA(VLOOKUP($A97,Data!$A$2:$C$612,2,FALSE),0),IF(Kielivalinta="Svenska",_xlfn.IFNA(VLOOKUP($B97,Data!$A$2:$C$612,2,FALSE),0))))</f>
        <v/>
      </c>
      <c r="E97" s="123" t="str">
        <f>IF(Kielivalinta="","",IF(Kielivalinta="Suomi",_xlfn.IFNA(VLOOKUP($A97,Data!$A$2:$C$612,3,FALSE),0),IF(Kielivalinta="Svenska",_xlfn.IFNA(VLOOKUP($B97,Data!$A$2:$C$612,3,FALSE),0))))</f>
        <v/>
      </c>
      <c r="F97" s="119"/>
      <c r="G97" s="119"/>
      <c r="H97" s="119"/>
      <c r="I97" s="119"/>
      <c r="J97" s="119"/>
      <c r="Q97" s="119"/>
      <c r="R97" s="119"/>
      <c r="S97" s="119"/>
      <c r="T97" s="119"/>
      <c r="U97" s="119"/>
      <c r="V97" s="119"/>
      <c r="W97" s="119"/>
    </row>
    <row r="98" spans="1:23" x14ac:dyDescent="0.2">
      <c r="A98" s="119" t="s">
        <v>149</v>
      </c>
      <c r="B98" s="119" t="s">
        <v>1078</v>
      </c>
      <c r="C98" s="115"/>
      <c r="D98" s="123" t="str">
        <f>IF(Kielivalinta="","",IF(Kielivalinta="Suomi",_xlfn.IFNA(VLOOKUP($A98,Data!$A$2:$C$612,2,FALSE),0),IF(Kielivalinta="Svenska",_xlfn.IFNA(VLOOKUP($B98,Data!$A$2:$C$612,2,FALSE),0))))</f>
        <v/>
      </c>
      <c r="E98" s="123" t="str">
        <f>IF(Kielivalinta="","",IF(Kielivalinta="Suomi",_xlfn.IFNA(VLOOKUP($A98,Data!$A$2:$C$612,3,FALSE),0),IF(Kielivalinta="Svenska",_xlfn.IFNA(VLOOKUP($B98,Data!$A$2:$C$612,3,FALSE),0))))</f>
        <v/>
      </c>
      <c r="F98" s="119"/>
      <c r="G98" s="119"/>
      <c r="H98" s="119"/>
      <c r="I98" s="119"/>
      <c r="J98" s="119"/>
      <c r="Q98" s="119"/>
      <c r="R98" s="119"/>
      <c r="S98" s="119"/>
      <c r="T98" s="119"/>
      <c r="U98" s="119"/>
      <c r="V98" s="119"/>
      <c r="W98" s="119"/>
    </row>
    <row r="99" spans="1:23" x14ac:dyDescent="0.2">
      <c r="A99" s="122" t="s">
        <v>150</v>
      </c>
      <c r="B99" s="122" t="s">
        <v>722</v>
      </c>
      <c r="C99" s="115"/>
      <c r="D99" s="123" t="str">
        <f>IF(Kielivalinta="","",IF(Kielivalinta="Suomi",_xlfn.IFNA(VLOOKUP($A99,Data!$A$2:$C$612,2,FALSE),0),IF(Kielivalinta="Svenska",_xlfn.IFNA(VLOOKUP($B99,Data!$A$2:$C$612,2,FALSE),0))))</f>
        <v/>
      </c>
      <c r="E99" s="123" t="str">
        <f>IF(Kielivalinta="","",IF(Kielivalinta="Suomi",_xlfn.IFNA(VLOOKUP($A99,Data!$A$2:$C$612,3,FALSE),0),IF(Kielivalinta="Svenska",_xlfn.IFNA(VLOOKUP($B99,Data!$A$2:$C$612,3,FALSE),0))))</f>
        <v/>
      </c>
      <c r="F99" s="119"/>
      <c r="G99" s="119"/>
      <c r="H99" s="119"/>
      <c r="I99" s="119"/>
      <c r="J99" s="119"/>
      <c r="Q99" s="122"/>
      <c r="R99" s="119"/>
      <c r="S99" s="119"/>
      <c r="T99" s="119"/>
      <c r="U99" s="119"/>
      <c r="V99" s="119"/>
      <c r="W99" s="119"/>
    </row>
    <row r="100" spans="1:23" x14ac:dyDescent="0.2">
      <c r="A100" s="122" t="s">
        <v>151</v>
      </c>
      <c r="B100" s="122" t="s">
        <v>723</v>
      </c>
      <c r="C100" s="115"/>
      <c r="D100" s="123" t="str">
        <f>IF(Kielivalinta="","",IF(Kielivalinta="Suomi",_xlfn.IFNA(VLOOKUP($A100,Data!$A$2:$C$612,2,FALSE),0),IF(Kielivalinta="Svenska",_xlfn.IFNA(VLOOKUP($B100,Data!$A$2:$C$612,2,FALSE),0))))</f>
        <v/>
      </c>
      <c r="E100" s="123" t="str">
        <f>IF(Kielivalinta="","",IF(Kielivalinta="Suomi",_xlfn.IFNA(VLOOKUP($A100,Data!$A$2:$C$612,3,FALSE),0),IF(Kielivalinta="Svenska",_xlfn.IFNA(VLOOKUP($B100,Data!$A$2:$C$612,3,FALSE),0))))</f>
        <v/>
      </c>
      <c r="F100" s="119"/>
      <c r="G100" s="119"/>
      <c r="H100" s="119"/>
      <c r="I100" s="119"/>
      <c r="J100" s="119"/>
      <c r="Q100" s="122"/>
      <c r="R100" s="119"/>
      <c r="S100" s="119"/>
      <c r="T100" s="119"/>
      <c r="U100" s="119"/>
      <c r="V100" s="119"/>
      <c r="W100" s="119"/>
    </row>
    <row r="101" spans="1:23" x14ac:dyDescent="0.2">
      <c r="A101" s="122" t="s">
        <v>152</v>
      </c>
      <c r="B101" s="122" t="s">
        <v>724</v>
      </c>
      <c r="C101" s="115"/>
      <c r="D101" s="123" t="str">
        <f>IF(Kielivalinta="","",IF(Kielivalinta="Suomi",_xlfn.IFNA(VLOOKUP($A101,Data!$A$2:$C$612,2,FALSE),0),IF(Kielivalinta="Svenska",_xlfn.IFNA(VLOOKUP($B101,Data!$A$2:$C$612,2,FALSE),0))))</f>
        <v/>
      </c>
      <c r="E101" s="123" t="str">
        <f>IF(Kielivalinta="","",IF(Kielivalinta="Suomi",_xlfn.IFNA(VLOOKUP($A101,Data!$A$2:$C$612,3,FALSE),0),IF(Kielivalinta="Svenska",_xlfn.IFNA(VLOOKUP($B101,Data!$A$2:$C$612,3,FALSE),0))))</f>
        <v/>
      </c>
      <c r="F101" s="119"/>
      <c r="G101" s="119"/>
      <c r="H101" s="119"/>
      <c r="I101" s="119"/>
      <c r="J101" s="119"/>
      <c r="Q101" s="122"/>
      <c r="R101" s="119"/>
      <c r="S101" s="119"/>
      <c r="T101" s="119"/>
      <c r="U101" s="119"/>
      <c r="V101" s="119"/>
      <c r="W101" s="119"/>
    </row>
    <row r="102" spans="1:23" x14ac:dyDescent="0.2">
      <c r="A102" s="119" t="s">
        <v>153</v>
      </c>
      <c r="B102" s="119" t="s">
        <v>1079</v>
      </c>
      <c r="C102" s="115"/>
      <c r="D102" s="123" t="str">
        <f>IF(Kielivalinta="","",IF(Kielivalinta="Suomi",_xlfn.IFNA(VLOOKUP($A102,Data!$A$2:$C$612,2,FALSE),0),IF(Kielivalinta="Svenska",_xlfn.IFNA(VLOOKUP($B102,Data!$A$2:$C$612,2,FALSE),0))))</f>
        <v/>
      </c>
      <c r="E102" s="123" t="str">
        <f>IF(Kielivalinta="","",IF(Kielivalinta="Suomi",_xlfn.IFNA(VLOOKUP($A102,Data!$A$2:$C$612,3,FALSE),0),IF(Kielivalinta="Svenska",_xlfn.IFNA(VLOOKUP($B102,Data!$A$2:$C$612,3,FALSE),0))))</f>
        <v/>
      </c>
      <c r="F102" s="119"/>
      <c r="G102" s="119"/>
      <c r="H102" s="119"/>
      <c r="I102" s="119"/>
      <c r="J102" s="119"/>
      <c r="Q102" s="119"/>
      <c r="R102" s="119"/>
      <c r="S102" s="119"/>
      <c r="T102" s="119"/>
      <c r="U102" s="119"/>
      <c r="V102" s="119"/>
      <c r="W102" s="119"/>
    </row>
    <row r="103" spans="1:23" x14ac:dyDescent="0.2">
      <c r="A103" s="122" t="s">
        <v>154</v>
      </c>
      <c r="B103" s="122" t="s">
        <v>725</v>
      </c>
      <c r="C103" s="115"/>
      <c r="D103" s="123" t="str">
        <f>IF(Kielivalinta="","",IF(Kielivalinta="Suomi",_xlfn.IFNA(VLOOKUP($A103,Data!$A$2:$C$612,2,FALSE),0),IF(Kielivalinta="Svenska",_xlfn.IFNA(VLOOKUP($B103,Data!$A$2:$C$612,2,FALSE),0))))</f>
        <v/>
      </c>
      <c r="E103" s="123" t="str">
        <f>IF(Kielivalinta="","",IF(Kielivalinta="Suomi",_xlfn.IFNA(VLOOKUP($A103,Data!$A$2:$C$612,3,FALSE),0),IF(Kielivalinta="Svenska",_xlfn.IFNA(VLOOKUP($B103,Data!$A$2:$C$612,3,FALSE),0))))</f>
        <v/>
      </c>
      <c r="F103" s="119"/>
      <c r="G103" s="119"/>
      <c r="H103" s="119"/>
      <c r="I103" s="119"/>
      <c r="J103" s="119"/>
      <c r="Q103" s="122"/>
      <c r="R103" s="119"/>
      <c r="S103" s="119"/>
      <c r="T103" s="119"/>
      <c r="U103" s="119"/>
      <c r="V103" s="119"/>
      <c r="W103" s="119"/>
    </row>
    <row r="104" spans="1:23" x14ac:dyDescent="0.2">
      <c r="A104" s="122" t="s">
        <v>155</v>
      </c>
      <c r="B104" s="122" t="s">
        <v>726</v>
      </c>
      <c r="C104" s="115"/>
      <c r="D104" s="123" t="str">
        <f>IF(Kielivalinta="","",IF(Kielivalinta="Suomi",_xlfn.IFNA(VLOOKUP($A104,Data!$A$2:$C$612,2,FALSE),0),IF(Kielivalinta="Svenska",_xlfn.IFNA(VLOOKUP($B104,Data!$A$2:$C$612,2,FALSE),0))))</f>
        <v/>
      </c>
      <c r="E104" s="123" t="str">
        <f>IF(Kielivalinta="","",IF(Kielivalinta="Suomi",_xlfn.IFNA(VLOOKUP($A104,Data!$A$2:$C$612,3,FALSE),0),IF(Kielivalinta="Svenska",_xlfn.IFNA(VLOOKUP($B104,Data!$A$2:$C$612,3,FALSE),0))))</f>
        <v/>
      </c>
      <c r="F104" s="119"/>
      <c r="G104" s="119"/>
      <c r="H104" s="119"/>
      <c r="I104" s="119"/>
      <c r="J104" s="119"/>
      <c r="Q104" s="122"/>
      <c r="R104" s="119"/>
      <c r="S104" s="119"/>
      <c r="T104" s="119"/>
      <c r="U104" s="119"/>
      <c r="V104" s="119"/>
      <c r="W104" s="119"/>
    </row>
    <row r="105" spans="1:23" x14ac:dyDescent="0.2">
      <c r="A105" s="119" t="s">
        <v>156</v>
      </c>
      <c r="B105" s="119" t="s">
        <v>1080</v>
      </c>
      <c r="C105" s="115"/>
      <c r="D105" s="123" t="str">
        <f>IF(Kielivalinta="","",IF(Kielivalinta="Suomi",_xlfn.IFNA(VLOOKUP($A105,Data!$A$2:$C$612,2,FALSE),0),IF(Kielivalinta="Svenska",_xlfn.IFNA(VLOOKUP($B105,Data!$A$2:$C$612,2,FALSE),0))))</f>
        <v/>
      </c>
      <c r="E105" s="123" t="str">
        <f>IF(Kielivalinta="","",IF(Kielivalinta="Suomi",_xlfn.IFNA(VLOOKUP($A105,Data!$A$2:$C$612,3,FALSE),0),IF(Kielivalinta="Svenska",_xlfn.IFNA(VLOOKUP($B105,Data!$A$2:$C$612,3,FALSE),0))))</f>
        <v/>
      </c>
      <c r="F105" s="119"/>
      <c r="G105" s="119"/>
      <c r="H105" s="119"/>
      <c r="I105" s="119"/>
      <c r="J105" s="119"/>
      <c r="Q105" s="119"/>
      <c r="R105" s="119"/>
      <c r="S105" s="119"/>
      <c r="T105" s="119"/>
      <c r="U105" s="119"/>
      <c r="V105" s="119"/>
      <c r="W105" s="119"/>
    </row>
    <row r="106" spans="1:23" x14ac:dyDescent="0.2">
      <c r="A106" s="122" t="s">
        <v>157</v>
      </c>
      <c r="B106" s="122" t="s">
        <v>727</v>
      </c>
      <c r="C106" s="115"/>
      <c r="D106" s="123" t="str">
        <f>IF(Kielivalinta="","",IF(Kielivalinta="Suomi",_xlfn.IFNA(VLOOKUP($A106,Data!$A$2:$C$612,2,FALSE),0),IF(Kielivalinta="Svenska",_xlfn.IFNA(VLOOKUP($B106,Data!$A$2:$C$612,2,FALSE),0))))</f>
        <v/>
      </c>
      <c r="E106" s="123" t="str">
        <f>IF(Kielivalinta="","",IF(Kielivalinta="Suomi",_xlfn.IFNA(VLOOKUP($A106,Data!$A$2:$C$612,3,FALSE),0),IF(Kielivalinta="Svenska",_xlfn.IFNA(VLOOKUP($B106,Data!$A$2:$C$612,3,FALSE),0))))</f>
        <v/>
      </c>
      <c r="F106" s="119"/>
      <c r="G106" s="119"/>
      <c r="H106" s="119"/>
      <c r="I106" s="119"/>
      <c r="J106" s="119"/>
      <c r="Q106" s="122"/>
      <c r="R106" s="119"/>
      <c r="S106" s="119"/>
      <c r="T106" s="119"/>
      <c r="U106" s="119"/>
      <c r="V106" s="119"/>
      <c r="W106" s="119"/>
    </row>
    <row r="107" spans="1:23" x14ac:dyDescent="0.2">
      <c r="A107" s="122" t="s">
        <v>158</v>
      </c>
      <c r="B107" s="122" t="s">
        <v>728</v>
      </c>
      <c r="C107" s="115"/>
      <c r="D107" s="123" t="str">
        <f>IF(Kielivalinta="","",IF(Kielivalinta="Suomi",_xlfn.IFNA(VLOOKUP($A107,Data!$A$2:$C$612,2,FALSE),0),IF(Kielivalinta="Svenska",_xlfn.IFNA(VLOOKUP($B107,Data!$A$2:$C$612,2,FALSE),0))))</f>
        <v/>
      </c>
      <c r="E107" s="123" t="str">
        <f>IF(Kielivalinta="","",IF(Kielivalinta="Suomi",_xlfn.IFNA(VLOOKUP($A107,Data!$A$2:$C$612,3,FALSE),0),IF(Kielivalinta="Svenska",_xlfn.IFNA(VLOOKUP($B107,Data!$A$2:$C$612,3,FALSE),0))))</f>
        <v/>
      </c>
      <c r="F107" s="119"/>
      <c r="G107" s="119"/>
      <c r="H107" s="119"/>
      <c r="I107" s="119"/>
      <c r="J107" s="119"/>
      <c r="Q107" s="122"/>
      <c r="R107" s="119"/>
      <c r="S107" s="119"/>
      <c r="T107" s="119"/>
      <c r="U107" s="119"/>
      <c r="V107" s="119"/>
      <c r="W107" s="119"/>
    </row>
    <row r="108" spans="1:23" x14ac:dyDescent="0.2">
      <c r="A108" s="122" t="s">
        <v>159</v>
      </c>
      <c r="B108" s="122" t="s">
        <v>729</v>
      </c>
      <c r="C108" s="115"/>
      <c r="D108" s="123" t="str">
        <f>IF(Kielivalinta="","",IF(Kielivalinta="Suomi",_xlfn.IFNA(VLOOKUP($A108,Data!$A$2:$C$612,2,FALSE),0),IF(Kielivalinta="Svenska",_xlfn.IFNA(VLOOKUP($B108,Data!$A$2:$C$612,2,FALSE),0))))</f>
        <v/>
      </c>
      <c r="E108" s="123" t="str">
        <f>IF(Kielivalinta="","",IF(Kielivalinta="Suomi",_xlfn.IFNA(VLOOKUP($A108,Data!$A$2:$C$612,3,FALSE),0),IF(Kielivalinta="Svenska",_xlfn.IFNA(VLOOKUP($B108,Data!$A$2:$C$612,3,FALSE),0))))</f>
        <v/>
      </c>
      <c r="F108" s="119"/>
      <c r="G108" s="119"/>
      <c r="H108" s="119"/>
      <c r="I108" s="119"/>
      <c r="J108" s="119"/>
      <c r="Q108" s="122"/>
      <c r="R108" s="119"/>
      <c r="S108" s="119"/>
      <c r="T108" s="119"/>
      <c r="U108" s="119"/>
      <c r="V108" s="119"/>
      <c r="W108" s="119"/>
    </row>
    <row r="109" spans="1:23" x14ac:dyDescent="0.2">
      <c r="A109" s="122" t="s">
        <v>160</v>
      </c>
      <c r="B109" s="122" t="s">
        <v>730</v>
      </c>
      <c r="C109" s="115"/>
      <c r="D109" s="123" t="str">
        <f>IF(Kielivalinta="","",IF(Kielivalinta="Suomi",_xlfn.IFNA(VLOOKUP($A109,Data!$A$2:$C$612,2,FALSE),0),IF(Kielivalinta="Svenska",_xlfn.IFNA(VLOOKUP($B109,Data!$A$2:$C$612,2,FALSE),0))))</f>
        <v/>
      </c>
      <c r="E109" s="123" t="str">
        <f>IF(Kielivalinta="","",IF(Kielivalinta="Suomi",_xlfn.IFNA(VLOOKUP($A109,Data!$A$2:$C$612,3,FALSE),0),IF(Kielivalinta="Svenska",_xlfn.IFNA(VLOOKUP($B109,Data!$A$2:$C$612,3,FALSE),0))))</f>
        <v/>
      </c>
      <c r="F109" s="119"/>
      <c r="G109" s="119"/>
      <c r="H109" s="119"/>
      <c r="I109" s="119"/>
      <c r="J109" s="119"/>
      <c r="Q109" s="122"/>
      <c r="R109" s="119"/>
      <c r="S109" s="119"/>
      <c r="T109" s="119"/>
      <c r="U109" s="119"/>
      <c r="V109" s="119"/>
      <c r="W109" s="119"/>
    </row>
    <row r="110" spans="1:23" x14ac:dyDescent="0.2">
      <c r="A110" s="119" t="s">
        <v>161</v>
      </c>
      <c r="B110" s="119" t="s">
        <v>1081</v>
      </c>
      <c r="C110" s="115"/>
      <c r="D110" s="123" t="str">
        <f>IF(Kielivalinta="","",IF(Kielivalinta="Suomi",_xlfn.IFNA(VLOOKUP($A110,Data!$A$2:$C$612,2,FALSE),0),IF(Kielivalinta="Svenska",_xlfn.IFNA(VLOOKUP($B110,Data!$A$2:$C$612,2,FALSE),0))))</f>
        <v/>
      </c>
      <c r="E110" s="123" t="str">
        <f>IF(Kielivalinta="","",IF(Kielivalinta="Suomi",_xlfn.IFNA(VLOOKUP($A110,Data!$A$2:$C$612,3,FALSE),0),IF(Kielivalinta="Svenska",_xlfn.IFNA(VLOOKUP($B110,Data!$A$2:$C$612,3,FALSE),0))))</f>
        <v/>
      </c>
      <c r="F110" s="119"/>
      <c r="G110" s="119"/>
      <c r="H110" s="119"/>
      <c r="I110" s="119"/>
      <c r="J110" s="119"/>
      <c r="Q110" s="119"/>
      <c r="R110" s="119"/>
      <c r="S110" s="119"/>
      <c r="T110" s="119"/>
      <c r="U110" s="119"/>
      <c r="V110" s="119"/>
      <c r="W110" s="119"/>
    </row>
    <row r="111" spans="1:23" x14ac:dyDescent="0.2">
      <c r="A111" s="122" t="s">
        <v>162</v>
      </c>
      <c r="B111" s="122" t="s">
        <v>731</v>
      </c>
      <c r="C111" s="115"/>
      <c r="D111" s="123" t="str">
        <f>IF(Kielivalinta="","",IF(Kielivalinta="Suomi",_xlfn.IFNA(VLOOKUP($A111,Data!$A$2:$C$612,2,FALSE),0),IF(Kielivalinta="Svenska",_xlfn.IFNA(VLOOKUP($B111,Data!$A$2:$C$612,2,FALSE),0))))</f>
        <v/>
      </c>
      <c r="E111" s="123" t="str">
        <f>IF(Kielivalinta="","",IF(Kielivalinta="Suomi",_xlfn.IFNA(VLOOKUP($A111,Data!$A$2:$C$612,3,FALSE),0),IF(Kielivalinta="Svenska",_xlfn.IFNA(VLOOKUP($B111,Data!$A$2:$C$612,3,FALSE),0))))</f>
        <v/>
      </c>
      <c r="F111" s="119"/>
      <c r="G111" s="119"/>
      <c r="H111" s="119"/>
      <c r="I111" s="119"/>
      <c r="J111" s="119"/>
      <c r="Q111" s="122"/>
      <c r="R111" s="119"/>
      <c r="S111" s="119"/>
      <c r="T111" s="119"/>
      <c r="U111" s="119"/>
      <c r="V111" s="119"/>
      <c r="W111" s="119"/>
    </row>
    <row r="112" spans="1:23" x14ac:dyDescent="0.2">
      <c r="A112" s="119" t="s">
        <v>163</v>
      </c>
      <c r="B112" s="119" t="s">
        <v>1082</v>
      </c>
      <c r="C112" s="115"/>
      <c r="D112" s="123" t="str">
        <f>IF(Kielivalinta="","",IF(Kielivalinta="Suomi",_xlfn.IFNA(VLOOKUP($A112,Data!$A$2:$C$612,2,FALSE),0),IF(Kielivalinta="Svenska",_xlfn.IFNA(VLOOKUP($B112,Data!$A$2:$C$612,2,FALSE),0))))</f>
        <v/>
      </c>
      <c r="E112" s="123" t="str">
        <f>IF(Kielivalinta="","",IF(Kielivalinta="Suomi",_xlfn.IFNA(VLOOKUP($A112,Data!$A$2:$C$612,3,FALSE),0),IF(Kielivalinta="Svenska",_xlfn.IFNA(VLOOKUP($B112,Data!$A$2:$C$612,3,FALSE),0))))</f>
        <v/>
      </c>
      <c r="F112" s="119"/>
      <c r="G112" s="119"/>
      <c r="H112" s="119"/>
      <c r="I112" s="119"/>
      <c r="J112" s="119"/>
      <c r="Q112" s="119"/>
      <c r="R112" s="119"/>
      <c r="S112" s="119"/>
      <c r="T112" s="119"/>
      <c r="U112" s="119"/>
      <c r="V112" s="119"/>
      <c r="W112" s="119"/>
    </row>
    <row r="113" spans="1:23" x14ac:dyDescent="0.2">
      <c r="A113" s="122" t="s">
        <v>164</v>
      </c>
      <c r="B113" s="122" t="s">
        <v>732</v>
      </c>
      <c r="C113" s="115"/>
      <c r="D113" s="123" t="str">
        <f>IF(Kielivalinta="","",IF(Kielivalinta="Suomi",_xlfn.IFNA(VLOOKUP($A113,Data!$A$2:$C$612,2,FALSE),0),IF(Kielivalinta="Svenska",_xlfn.IFNA(VLOOKUP($B113,Data!$A$2:$C$612,2,FALSE),0))))</f>
        <v/>
      </c>
      <c r="E113" s="123" t="str">
        <f>IF(Kielivalinta="","",IF(Kielivalinta="Suomi",_xlfn.IFNA(VLOOKUP($A113,Data!$A$2:$C$612,3,FALSE),0),IF(Kielivalinta="Svenska",_xlfn.IFNA(VLOOKUP($B113,Data!$A$2:$C$612,3,FALSE),0))))</f>
        <v/>
      </c>
      <c r="F113" s="119"/>
      <c r="G113" s="119"/>
      <c r="H113" s="119"/>
      <c r="I113" s="119"/>
      <c r="J113" s="119"/>
      <c r="Q113" s="122"/>
      <c r="R113" s="119"/>
      <c r="S113" s="119"/>
      <c r="T113" s="119"/>
      <c r="U113" s="119"/>
      <c r="V113" s="119"/>
      <c r="W113" s="119"/>
    </row>
    <row r="114" spans="1:23" x14ac:dyDescent="0.2">
      <c r="A114" s="122" t="s">
        <v>165</v>
      </c>
      <c r="B114" s="122" t="s">
        <v>733</v>
      </c>
      <c r="C114" s="115"/>
      <c r="D114" s="123" t="str">
        <f>IF(Kielivalinta="","",IF(Kielivalinta="Suomi",_xlfn.IFNA(VLOOKUP($A114,Data!$A$2:$C$612,2,FALSE),0),IF(Kielivalinta="Svenska",_xlfn.IFNA(VLOOKUP($B114,Data!$A$2:$C$612,2,FALSE),0))))</f>
        <v/>
      </c>
      <c r="E114" s="123" t="str">
        <f>IF(Kielivalinta="","",IF(Kielivalinta="Suomi",_xlfn.IFNA(VLOOKUP($A114,Data!$A$2:$C$612,3,FALSE),0),IF(Kielivalinta="Svenska",_xlfn.IFNA(VLOOKUP($B114,Data!$A$2:$C$612,3,FALSE),0))))</f>
        <v/>
      </c>
      <c r="F114" s="119"/>
      <c r="G114" s="119"/>
      <c r="H114" s="119"/>
      <c r="I114" s="119"/>
      <c r="J114" s="119"/>
      <c r="Q114" s="122"/>
      <c r="R114" s="119"/>
      <c r="S114" s="119"/>
      <c r="T114" s="119"/>
      <c r="U114" s="119"/>
      <c r="V114" s="119"/>
      <c r="W114" s="119"/>
    </row>
    <row r="115" spans="1:23" x14ac:dyDescent="0.2">
      <c r="A115" s="119" t="s">
        <v>166</v>
      </c>
      <c r="B115" s="119" t="s">
        <v>1083</v>
      </c>
      <c r="C115" s="115"/>
      <c r="D115" s="123" t="str">
        <f>IF(Kielivalinta="","",IF(Kielivalinta="Suomi",_xlfn.IFNA(VLOOKUP($A115,Data!$A$2:$C$612,2,FALSE),0),IF(Kielivalinta="Svenska",_xlfn.IFNA(VLOOKUP($B115,Data!$A$2:$C$612,2,FALSE),0))))</f>
        <v/>
      </c>
      <c r="E115" s="123" t="str">
        <f>IF(Kielivalinta="","",IF(Kielivalinta="Suomi",_xlfn.IFNA(VLOOKUP($A115,Data!$A$2:$C$612,3,FALSE),0),IF(Kielivalinta="Svenska",_xlfn.IFNA(VLOOKUP($B115,Data!$A$2:$C$612,3,FALSE),0))))</f>
        <v/>
      </c>
      <c r="F115" s="119"/>
      <c r="G115" s="119"/>
      <c r="H115" s="119"/>
      <c r="I115" s="119"/>
      <c r="J115" s="119"/>
      <c r="Q115" s="119"/>
      <c r="R115" s="119"/>
      <c r="S115" s="119"/>
      <c r="T115" s="119"/>
      <c r="U115" s="119"/>
      <c r="V115" s="119"/>
      <c r="W115" s="119"/>
    </row>
    <row r="116" spans="1:23" x14ac:dyDescent="0.2">
      <c r="A116" s="122" t="s">
        <v>167</v>
      </c>
      <c r="B116" s="122" t="s">
        <v>734</v>
      </c>
      <c r="C116" s="115"/>
      <c r="D116" s="123" t="str">
        <f>IF(Kielivalinta="","",IF(Kielivalinta="Suomi",_xlfn.IFNA(VLOOKUP($A116,Data!$A$2:$C$612,2,FALSE),0),IF(Kielivalinta="Svenska",_xlfn.IFNA(VLOOKUP($B116,Data!$A$2:$C$612,2,FALSE),0))))</f>
        <v/>
      </c>
      <c r="E116" s="123" t="str">
        <f>IF(Kielivalinta="","",IF(Kielivalinta="Suomi",_xlfn.IFNA(VLOOKUP($A116,Data!$A$2:$C$612,3,FALSE),0),IF(Kielivalinta="Svenska",_xlfn.IFNA(VLOOKUP($B116,Data!$A$2:$C$612,3,FALSE),0))))</f>
        <v/>
      </c>
      <c r="F116" s="119"/>
      <c r="G116" s="119"/>
      <c r="H116" s="119"/>
      <c r="I116" s="119"/>
      <c r="J116" s="119"/>
      <c r="Q116" s="122"/>
      <c r="R116" s="119"/>
      <c r="S116" s="119"/>
      <c r="T116" s="119"/>
      <c r="U116" s="119"/>
      <c r="V116" s="119"/>
      <c r="W116" s="119"/>
    </row>
    <row r="117" spans="1:23" x14ac:dyDescent="0.2">
      <c r="A117" s="122" t="s">
        <v>622</v>
      </c>
      <c r="B117" s="122" t="s">
        <v>735</v>
      </c>
      <c r="C117" s="115"/>
      <c r="D117" s="123" t="str">
        <f>IF(Kielivalinta="","",IF(Kielivalinta="Suomi",_xlfn.IFNA(VLOOKUP($A117,Data!$A$2:$C$612,2,FALSE),0),IF(Kielivalinta="Svenska",_xlfn.IFNA(VLOOKUP($B117,Data!$A$2:$C$612,2,FALSE),0))))</f>
        <v/>
      </c>
      <c r="E117" s="123" t="str">
        <f>IF(Kielivalinta="","",IF(Kielivalinta="Suomi",_xlfn.IFNA(VLOOKUP($A117,Data!$A$2:$C$612,3,FALSE),0),IF(Kielivalinta="Svenska",_xlfn.IFNA(VLOOKUP($B117,Data!$A$2:$C$612,3,FALSE),0))))</f>
        <v/>
      </c>
      <c r="F117" s="119"/>
      <c r="G117" s="119"/>
      <c r="H117" s="119"/>
      <c r="I117" s="119"/>
      <c r="J117" s="119"/>
      <c r="Q117" s="122"/>
      <c r="R117" s="119"/>
      <c r="S117" s="119"/>
      <c r="T117" s="119"/>
      <c r="U117" s="119"/>
      <c r="V117" s="119"/>
      <c r="W117" s="119"/>
    </row>
    <row r="118" spans="1:23" x14ac:dyDescent="0.2">
      <c r="A118" s="122" t="s">
        <v>623</v>
      </c>
      <c r="B118" s="122" t="s">
        <v>736</v>
      </c>
      <c r="C118" s="115"/>
      <c r="D118" s="123" t="str">
        <f>IF(Kielivalinta="","",IF(Kielivalinta="Suomi",_xlfn.IFNA(VLOOKUP($A118,Data!$A$2:$C$612,2,FALSE),0),IF(Kielivalinta="Svenska",_xlfn.IFNA(VLOOKUP($B118,Data!$A$2:$C$612,2,FALSE),0))))</f>
        <v/>
      </c>
      <c r="E118" s="123" t="str">
        <f>IF(Kielivalinta="","",IF(Kielivalinta="Suomi",_xlfn.IFNA(VLOOKUP($A118,Data!$A$2:$C$612,3,FALSE),0),IF(Kielivalinta="Svenska",_xlfn.IFNA(VLOOKUP($B118,Data!$A$2:$C$612,3,FALSE),0))))</f>
        <v/>
      </c>
      <c r="F118" s="119"/>
      <c r="G118" s="119"/>
      <c r="H118" s="119"/>
      <c r="I118" s="119"/>
      <c r="J118" s="119"/>
      <c r="Q118" s="122"/>
      <c r="R118" s="119"/>
      <c r="S118" s="119"/>
      <c r="T118" s="119"/>
      <c r="U118" s="119"/>
      <c r="V118" s="119"/>
      <c r="W118" s="119"/>
    </row>
    <row r="119" spans="1:23" x14ac:dyDescent="0.2">
      <c r="A119" s="122" t="s">
        <v>624</v>
      </c>
      <c r="B119" s="122" t="s">
        <v>737</v>
      </c>
      <c r="C119" s="115"/>
      <c r="D119" s="123" t="str">
        <f>IF(Kielivalinta="","",IF(Kielivalinta="Suomi",_xlfn.IFNA(VLOOKUP($A119,Data!$A$2:$C$612,2,FALSE),0),IF(Kielivalinta="Svenska",_xlfn.IFNA(VLOOKUP($B119,Data!$A$2:$C$612,2,FALSE),0))))</f>
        <v/>
      </c>
      <c r="E119" s="123" t="str">
        <f>IF(Kielivalinta="","",IF(Kielivalinta="Suomi",_xlfn.IFNA(VLOOKUP($A119,Data!$A$2:$C$612,3,FALSE),0),IF(Kielivalinta="Svenska",_xlfn.IFNA(VLOOKUP($B119,Data!$A$2:$C$612,3,FALSE),0))))</f>
        <v/>
      </c>
      <c r="F119" s="119"/>
      <c r="G119" s="119"/>
      <c r="H119" s="119"/>
      <c r="I119" s="119"/>
      <c r="J119" s="119"/>
      <c r="Q119" s="122"/>
      <c r="R119" s="119"/>
      <c r="S119" s="119"/>
      <c r="T119" s="119"/>
      <c r="U119" s="119"/>
      <c r="V119" s="119"/>
      <c r="W119" s="119"/>
    </row>
    <row r="120" spans="1:23" x14ac:dyDescent="0.2">
      <c r="A120" s="122" t="s">
        <v>168</v>
      </c>
      <c r="B120" s="122" t="s">
        <v>738</v>
      </c>
      <c r="C120" s="115"/>
      <c r="D120" s="123" t="str">
        <f>IF(Kielivalinta="","",IF(Kielivalinta="Suomi",_xlfn.IFNA(VLOOKUP($A120,Data!$A$2:$C$612,2,FALSE),0),IF(Kielivalinta="Svenska",_xlfn.IFNA(VLOOKUP($B120,Data!$A$2:$C$612,2,FALSE),0))))</f>
        <v/>
      </c>
      <c r="E120" s="123" t="str">
        <f>IF(Kielivalinta="","",IF(Kielivalinta="Suomi",_xlfn.IFNA(VLOOKUP($A120,Data!$A$2:$C$612,3,FALSE),0),IF(Kielivalinta="Svenska",_xlfn.IFNA(VLOOKUP($B120,Data!$A$2:$C$612,3,FALSE),0))))</f>
        <v/>
      </c>
      <c r="F120" s="119"/>
      <c r="G120" s="119"/>
      <c r="H120" s="119"/>
      <c r="I120" s="119"/>
      <c r="J120" s="119"/>
      <c r="Q120" s="122"/>
      <c r="R120" s="119"/>
      <c r="S120" s="119"/>
      <c r="T120" s="119"/>
      <c r="U120" s="119"/>
      <c r="V120" s="119"/>
      <c r="W120" s="119"/>
    </row>
    <row r="121" spans="1:23" x14ac:dyDescent="0.2">
      <c r="A121" s="119" t="s">
        <v>169</v>
      </c>
      <c r="B121" s="119" t="s">
        <v>1084</v>
      </c>
      <c r="C121" s="115"/>
      <c r="D121" s="123" t="str">
        <f>IF(Kielivalinta="","",IF(Kielivalinta="Suomi",_xlfn.IFNA(VLOOKUP($A121,Data!$A$2:$C$612,2,FALSE),0),IF(Kielivalinta="Svenska",_xlfn.IFNA(VLOOKUP($B121,Data!$A$2:$C$612,2,FALSE),0))))</f>
        <v/>
      </c>
      <c r="E121" s="123" t="str">
        <f>IF(Kielivalinta="","",IF(Kielivalinta="Suomi",_xlfn.IFNA(VLOOKUP($A121,Data!$A$2:$C$612,3,FALSE),0),IF(Kielivalinta="Svenska",_xlfn.IFNA(VLOOKUP($B121,Data!$A$2:$C$612,3,FALSE),0))))</f>
        <v/>
      </c>
      <c r="F121" s="131" t="b">
        <f>IF(Kielivalinta="Suomi","Kirjat",IF(Kielivalinta="Svenska","Böcker"))</f>
        <v>0</v>
      </c>
      <c r="G121" s="119"/>
      <c r="H121" s="119"/>
      <c r="I121" s="119"/>
      <c r="J121" s="119"/>
      <c r="Q121" s="119"/>
      <c r="R121" s="119"/>
      <c r="S121" s="119"/>
      <c r="T121" s="119"/>
      <c r="U121" s="119"/>
      <c r="V121" s="119"/>
      <c r="W121" s="119"/>
    </row>
    <row r="122" spans="1:23" x14ac:dyDescent="0.2">
      <c r="A122" s="122" t="s">
        <v>170</v>
      </c>
      <c r="B122" s="122" t="s">
        <v>739</v>
      </c>
      <c r="C122" s="115"/>
      <c r="D122" s="123" t="str">
        <f>IF(Kielivalinta="","",IF(Kielivalinta="Suomi",_xlfn.IFNA(VLOOKUP($A122,Data!$A$2:$C$612,2,FALSE),0),IF(Kielivalinta="Svenska",_xlfn.IFNA(VLOOKUP($B122,Data!$A$2:$C$612,2,FALSE),0))))</f>
        <v/>
      </c>
      <c r="E122" s="123" t="str">
        <f>IF(Kielivalinta="","",IF(Kielivalinta="Suomi",_xlfn.IFNA(VLOOKUP($A122,Data!$A$2:$C$612,3,FALSE),0),IF(Kielivalinta="Svenska",_xlfn.IFNA(VLOOKUP($B122,Data!$A$2:$C$612,3,FALSE),0))))</f>
        <v/>
      </c>
      <c r="F122" s="119"/>
      <c r="G122" s="118" t="str">
        <f>RIGHT(Data!$B$3,4)</f>
        <v/>
      </c>
      <c r="H122" s="118" t="str">
        <f>RIGHT(Data!$C$3,4)</f>
        <v/>
      </c>
      <c r="I122" s="119"/>
      <c r="J122" s="119"/>
      <c r="Q122" s="122"/>
      <c r="R122" s="119"/>
      <c r="S122" s="119"/>
      <c r="T122" s="119"/>
      <c r="U122" s="119"/>
      <c r="V122" s="119"/>
      <c r="W122" s="119"/>
    </row>
    <row r="123" spans="1:23" x14ac:dyDescent="0.2">
      <c r="A123" s="122" t="s">
        <v>171</v>
      </c>
      <c r="B123" s="122" t="s">
        <v>740</v>
      </c>
      <c r="C123" s="115"/>
      <c r="D123" s="123" t="str">
        <f>IF(Kielivalinta="","",IF(Kielivalinta="Suomi",_xlfn.IFNA(VLOOKUP($A123,Data!$A$2:$C$612,2,FALSE),0),IF(Kielivalinta="Svenska",_xlfn.IFNA(VLOOKUP($B123,Data!$A$2:$C$612,2,FALSE),0))))</f>
        <v/>
      </c>
      <c r="E123" s="123" t="str">
        <f>IF(Kielivalinta="","",IF(Kielivalinta="Suomi",_xlfn.IFNA(VLOOKUP($A123,Data!$A$2:$C$612,3,FALSE),0),IF(Kielivalinta="Svenska",_xlfn.IFNA(VLOOKUP($B123,Data!$A$2:$C$612,3,FALSE),0))))</f>
        <v/>
      </c>
      <c r="F123" s="131" t="b">
        <f>IF(Kielivalinta="Suomi","Painetut, nidettä",IF(Kielivalinta="Svenska","Tryckta, enheter"))</f>
        <v>0</v>
      </c>
      <c r="G123" s="123" t="str">
        <f>D29</f>
        <v/>
      </c>
      <c r="H123" s="123" t="str">
        <f>E29</f>
        <v/>
      </c>
      <c r="I123" s="119"/>
      <c r="J123" s="119"/>
      <c r="Q123" s="122"/>
      <c r="R123" s="119"/>
      <c r="S123" s="119"/>
      <c r="T123" s="119"/>
      <c r="U123" s="119"/>
      <c r="V123" s="119"/>
      <c r="W123" s="119"/>
    </row>
    <row r="124" spans="1:23" x14ac:dyDescent="0.2">
      <c r="A124" s="119" t="s">
        <v>172</v>
      </c>
      <c r="B124" s="119" t="s">
        <v>1085</v>
      </c>
      <c r="C124" s="115"/>
      <c r="D124" s="123" t="str">
        <f>IF(Kielivalinta="","",IF(Kielivalinta="Suomi",_xlfn.IFNA(VLOOKUP($A124,Data!$A$2:$C$612,2,FALSE),0),IF(Kielivalinta="Svenska",_xlfn.IFNA(VLOOKUP($B124,Data!$A$2:$C$612,2,FALSE),0))))</f>
        <v/>
      </c>
      <c r="E124" s="123" t="str">
        <f>IF(Kielivalinta="","",IF(Kielivalinta="Suomi",_xlfn.IFNA(VLOOKUP($A124,Data!$A$2:$C$612,3,FALSE),0),IF(Kielivalinta="Svenska",_xlfn.IFNA(VLOOKUP($B124,Data!$A$2:$C$612,3,FALSE),0))))</f>
        <v/>
      </c>
      <c r="F124" s="131" t="b">
        <f>IF(Kielivalinta="Suomi","Painetut, nimekettä",IF(Kielivalinta="Svenska","Tryckta, titlar"))</f>
        <v>0</v>
      </c>
      <c r="G124" s="123" t="str">
        <f>D124</f>
        <v/>
      </c>
      <c r="H124" s="123" t="str">
        <f>E124</f>
        <v/>
      </c>
      <c r="I124" s="119"/>
      <c r="J124" s="119"/>
      <c r="Q124" s="119"/>
      <c r="R124" s="119"/>
      <c r="S124" s="119"/>
      <c r="T124" s="119"/>
      <c r="U124" s="119"/>
      <c r="V124" s="119"/>
      <c r="W124" s="119"/>
    </row>
    <row r="125" spans="1:23" x14ac:dyDescent="0.2">
      <c r="A125" s="122" t="s">
        <v>173</v>
      </c>
      <c r="B125" s="122" t="s">
        <v>741</v>
      </c>
      <c r="C125" s="115"/>
      <c r="D125" s="123" t="str">
        <f>IF(Kielivalinta="","",IF(Kielivalinta="Suomi",_xlfn.IFNA(VLOOKUP($A125,Data!$A$2:$C$612,2,FALSE),0),IF(Kielivalinta="Svenska",_xlfn.IFNA(VLOOKUP($B125,Data!$A$2:$C$612,2,FALSE),0))))</f>
        <v/>
      </c>
      <c r="E125" s="123" t="str">
        <f>IF(Kielivalinta="","",IF(Kielivalinta="Suomi",_xlfn.IFNA(VLOOKUP($A125,Data!$A$2:$C$612,3,FALSE),0),IF(Kielivalinta="Svenska",_xlfn.IFNA(VLOOKUP($B125,Data!$A$2:$C$612,3,FALSE),0))))</f>
        <v/>
      </c>
      <c r="F125" s="131" t="b">
        <f>IF(Kielivalinta="Suomi","Elektroniset, nimekettä",IF(Kielivalinta="Svenska","Elektroniska, titlar"))</f>
        <v>0</v>
      </c>
      <c r="G125" s="123" t="str">
        <f>D128</f>
        <v/>
      </c>
      <c r="H125" s="123" t="str">
        <f>E128</f>
        <v/>
      </c>
      <c r="I125" s="119"/>
      <c r="J125" s="119"/>
      <c r="Q125" s="122"/>
      <c r="R125" s="119"/>
      <c r="S125" s="119"/>
      <c r="T125" s="119"/>
      <c r="U125" s="119"/>
      <c r="V125" s="119"/>
      <c r="W125" s="119"/>
    </row>
    <row r="126" spans="1:23" x14ac:dyDescent="0.2">
      <c r="A126" s="119" t="s">
        <v>174</v>
      </c>
      <c r="B126" s="119" t="s">
        <v>1086</v>
      </c>
      <c r="C126" s="115"/>
      <c r="D126" s="123" t="str">
        <f>IF(Kielivalinta="","",IF(Kielivalinta="Suomi",_xlfn.IFNA(VLOOKUP($A126,Data!$A$2:$C$612,2,FALSE),0),IF(Kielivalinta="Svenska",_xlfn.IFNA(VLOOKUP($B126,Data!$A$2:$C$612,2,FALSE),0))))</f>
        <v/>
      </c>
      <c r="E126" s="123" t="str">
        <f>IF(Kielivalinta="","",IF(Kielivalinta="Suomi",_xlfn.IFNA(VLOOKUP($A126,Data!$A$2:$C$612,3,FALSE),0),IF(Kielivalinta="Svenska",_xlfn.IFNA(VLOOKUP($B126,Data!$A$2:$C$612,3,FALSE),0))))</f>
        <v/>
      </c>
      <c r="F126" s="119"/>
      <c r="G126" s="119"/>
      <c r="H126" s="119"/>
      <c r="I126" s="119"/>
      <c r="J126" s="119"/>
      <c r="Q126" s="119"/>
      <c r="R126" s="119"/>
      <c r="S126" s="119"/>
      <c r="T126" s="119"/>
      <c r="U126" s="119"/>
      <c r="V126" s="119"/>
      <c r="W126" s="119"/>
    </row>
    <row r="127" spans="1:23" x14ac:dyDescent="0.2">
      <c r="A127" s="119" t="s">
        <v>175</v>
      </c>
      <c r="B127" s="119" t="s">
        <v>1087</v>
      </c>
      <c r="C127" s="115"/>
      <c r="D127" s="123" t="str">
        <f>IF(Kielivalinta="","",IF(Kielivalinta="Suomi",_xlfn.IFNA(VLOOKUP($A127,Data!$A$2:$C$612,2,FALSE),0),IF(Kielivalinta="Svenska",_xlfn.IFNA(VLOOKUP($B127,Data!$A$2:$C$612,2,FALSE),0))))</f>
        <v/>
      </c>
      <c r="E127" s="123" t="str">
        <f>IF(Kielivalinta="","",IF(Kielivalinta="Suomi",_xlfn.IFNA(VLOOKUP($A127,Data!$A$2:$C$612,3,FALSE),0),IF(Kielivalinta="Svenska",_xlfn.IFNA(VLOOKUP($B127,Data!$A$2:$C$612,3,FALSE),0))))</f>
        <v/>
      </c>
      <c r="F127" s="119"/>
      <c r="G127" s="119"/>
      <c r="H127" s="119"/>
      <c r="I127" s="119"/>
      <c r="J127" s="119"/>
      <c r="Q127" s="119"/>
      <c r="R127" s="119"/>
      <c r="S127" s="119"/>
      <c r="T127" s="119"/>
      <c r="U127" s="119"/>
      <c r="V127" s="119"/>
      <c r="W127" s="119"/>
    </row>
    <row r="128" spans="1:23" x14ac:dyDescent="0.2">
      <c r="A128" s="119" t="s">
        <v>176</v>
      </c>
      <c r="B128" s="119" t="s">
        <v>1088</v>
      </c>
      <c r="C128" s="115"/>
      <c r="D128" s="123" t="str">
        <f>IF(Kielivalinta="","",IF(Kielivalinta="Suomi",_xlfn.IFNA(VLOOKUP($A128,Data!$A$2:$C$612,2,FALSE),0),IF(Kielivalinta="Svenska",_xlfn.IFNA(VLOOKUP($B128,Data!$A$2:$C$612,2,FALSE),0))))</f>
        <v/>
      </c>
      <c r="E128" s="123" t="str">
        <f>IF(Kielivalinta="","",IF(Kielivalinta="Suomi",_xlfn.IFNA(VLOOKUP($A128,Data!$A$2:$C$612,3,FALSE),0),IF(Kielivalinta="Svenska",_xlfn.IFNA(VLOOKUP($B128,Data!$A$2:$C$612,3,FALSE),0))))</f>
        <v/>
      </c>
      <c r="F128" s="131" t="b">
        <f>IF(Kielivalinta="Suomi","Saapuvat kausijulkaisut, nimekettä",IF(Kielivalinta="Svenska","Inkommande periodika, titlar"))</f>
        <v>0</v>
      </c>
      <c r="G128" s="119"/>
      <c r="H128" s="119"/>
      <c r="I128" s="119"/>
      <c r="J128" s="119"/>
      <c r="Q128" s="119"/>
      <c r="R128" s="119"/>
      <c r="S128" s="119"/>
      <c r="T128" s="119"/>
      <c r="U128" s="119"/>
      <c r="V128" s="119"/>
      <c r="W128" s="119"/>
    </row>
    <row r="129" spans="1:23" x14ac:dyDescent="0.2">
      <c r="A129" s="119" t="s">
        <v>177</v>
      </c>
      <c r="B129" s="119" t="s">
        <v>1089</v>
      </c>
      <c r="C129" s="115"/>
      <c r="D129" s="123" t="str">
        <f>IF(Kielivalinta="","",IF(Kielivalinta="Suomi",_xlfn.IFNA(VLOOKUP($A129,Data!$A$2:$C$612,2,FALSE),0),IF(Kielivalinta="Svenska",_xlfn.IFNA(VLOOKUP($B129,Data!$A$2:$C$612,2,FALSE),0))))</f>
        <v/>
      </c>
      <c r="E129" s="123" t="str">
        <f>IF(Kielivalinta="","",IF(Kielivalinta="Suomi",_xlfn.IFNA(VLOOKUP($A129,Data!$A$2:$C$612,3,FALSE),0),IF(Kielivalinta="Svenska",_xlfn.IFNA(VLOOKUP($B129,Data!$A$2:$C$612,3,FALSE),0))))</f>
        <v/>
      </c>
      <c r="F129" s="119"/>
      <c r="G129" s="118" t="str">
        <f>RIGHT(Data!$B$3,4)</f>
        <v/>
      </c>
      <c r="H129" s="118" t="str">
        <f>RIGHT(Data!$C$3,4)</f>
        <v/>
      </c>
      <c r="I129" s="119"/>
      <c r="J129" s="119"/>
      <c r="Q129" s="119"/>
      <c r="R129" s="119"/>
      <c r="S129" s="119"/>
      <c r="T129" s="119"/>
      <c r="U129" s="119"/>
      <c r="V129" s="119"/>
      <c r="W129" s="119"/>
    </row>
    <row r="130" spans="1:23" x14ac:dyDescent="0.2">
      <c r="A130" s="122" t="s">
        <v>178</v>
      </c>
      <c r="B130" s="122" t="s">
        <v>742</v>
      </c>
      <c r="C130" s="115"/>
      <c r="D130" s="123" t="str">
        <f>IF(Kielivalinta="","",IF(Kielivalinta="Suomi",_xlfn.IFNA(VLOOKUP($A130,Data!$A$2:$C$612,2,FALSE),0),IF(Kielivalinta="Svenska",_xlfn.IFNA(VLOOKUP($B130,Data!$A$2:$C$612,2,FALSE),0))))</f>
        <v/>
      </c>
      <c r="E130" s="123" t="str">
        <f>IF(Kielivalinta="","",IF(Kielivalinta="Suomi",_xlfn.IFNA(VLOOKUP($A130,Data!$A$2:$C$612,3,FALSE),0),IF(Kielivalinta="Svenska",_xlfn.IFNA(VLOOKUP($B130,Data!$A$2:$C$612,3,FALSE),0))))</f>
        <v/>
      </c>
      <c r="F130" s="131" t="b">
        <f>IF(Kielivalinta="Suomi","Saapuvat painetut",IF(Kielivalinta="Svenska","Inkommande tryckta"))</f>
        <v>0</v>
      </c>
      <c r="G130" s="123" t="str">
        <f>D165</f>
        <v/>
      </c>
      <c r="H130" s="123" t="str">
        <f>E165</f>
        <v/>
      </c>
      <c r="I130" s="119"/>
      <c r="J130" s="119"/>
      <c r="Q130" s="122"/>
      <c r="R130" s="119"/>
      <c r="S130" s="119"/>
      <c r="T130" s="119"/>
      <c r="U130" s="119"/>
      <c r="V130" s="119"/>
      <c r="W130" s="119"/>
    </row>
    <row r="131" spans="1:23" x14ac:dyDescent="0.2">
      <c r="A131" s="119" t="s">
        <v>179</v>
      </c>
      <c r="B131" s="119" t="s">
        <v>1090</v>
      </c>
      <c r="C131" s="115"/>
      <c r="D131" s="123" t="str">
        <f>IF(Kielivalinta="","",IF(Kielivalinta="Suomi",_xlfn.IFNA(VLOOKUP($A131,Data!$A$2:$C$612,2,FALSE),0),IF(Kielivalinta="Svenska",_xlfn.IFNA(VLOOKUP($B131,Data!$A$2:$C$612,2,FALSE),0))))</f>
        <v/>
      </c>
      <c r="E131" s="123" t="str">
        <f>IF(Kielivalinta="","",IF(Kielivalinta="Suomi",_xlfn.IFNA(VLOOKUP($A131,Data!$A$2:$C$612,3,FALSE),0),IF(Kielivalinta="Svenska",_xlfn.IFNA(VLOOKUP($B131,Data!$A$2:$C$612,3,FALSE),0))))</f>
        <v/>
      </c>
      <c r="F131" s="131" t="b">
        <f>IF(Kielivalinta="Suomi","Saapuvat elektroniset",IF(Kielivalinta="Svenska","Inkommande elektroniska"))</f>
        <v>0</v>
      </c>
      <c r="G131" s="123" t="str">
        <f>D170</f>
        <v/>
      </c>
      <c r="H131" s="123" t="str">
        <f>E170</f>
        <v/>
      </c>
      <c r="I131" s="119"/>
      <c r="J131" s="119"/>
      <c r="Q131" s="119"/>
      <c r="R131" s="119"/>
      <c r="S131" s="119"/>
      <c r="T131" s="119"/>
      <c r="U131" s="119"/>
      <c r="V131" s="119"/>
      <c r="W131" s="119"/>
    </row>
    <row r="132" spans="1:23" x14ac:dyDescent="0.2">
      <c r="A132" s="122" t="s">
        <v>180</v>
      </c>
      <c r="B132" s="122" t="s">
        <v>743</v>
      </c>
      <c r="C132" s="115"/>
      <c r="D132" s="123" t="str">
        <f>IF(Kielivalinta="","",IF(Kielivalinta="Suomi",_xlfn.IFNA(VLOOKUP($A132,Data!$A$2:$C$612,2,FALSE),0),IF(Kielivalinta="Svenska",_xlfn.IFNA(VLOOKUP($B132,Data!$A$2:$C$612,2,FALSE),0))))</f>
        <v/>
      </c>
      <c r="E132" s="123" t="str">
        <f>IF(Kielivalinta="","",IF(Kielivalinta="Suomi",_xlfn.IFNA(VLOOKUP($A132,Data!$A$2:$C$612,3,FALSE),0),IF(Kielivalinta="Svenska",_xlfn.IFNA(VLOOKUP($B132,Data!$A$2:$C$612,3,FALSE),0))))</f>
        <v/>
      </c>
      <c r="F132" s="131" t="b">
        <f>IF(Kielivalinta="Suomi","Painetut kokoelmat, nimekettä",IF(Kielivalinta="Svenska","Tryckta samlingar, titlar"))</f>
        <v>0</v>
      </c>
      <c r="G132" s="123" t="str">
        <f>D137</f>
        <v/>
      </c>
      <c r="H132" s="123" t="str">
        <f>E137</f>
        <v/>
      </c>
      <c r="I132" s="119"/>
      <c r="J132" s="119"/>
      <c r="Q132" s="122"/>
      <c r="R132" s="119"/>
      <c r="S132" s="119"/>
      <c r="T132" s="119"/>
      <c r="U132" s="119"/>
      <c r="V132" s="119"/>
      <c r="W132" s="119"/>
    </row>
    <row r="133" spans="1:23" x14ac:dyDescent="0.2">
      <c r="A133" s="119" t="s">
        <v>181</v>
      </c>
      <c r="B133" s="119" t="s">
        <v>1091</v>
      </c>
      <c r="C133" s="115"/>
      <c r="D133" s="123" t="str">
        <f>IF(Kielivalinta="","",IF(Kielivalinta="Suomi",_xlfn.IFNA(VLOOKUP($A133,Data!$A$2:$C$612,2,FALSE),0),IF(Kielivalinta="Svenska",_xlfn.IFNA(VLOOKUP($B133,Data!$A$2:$C$612,2,FALSE),0))))</f>
        <v/>
      </c>
      <c r="E133" s="123" t="str">
        <f>IF(Kielivalinta="","",IF(Kielivalinta="Suomi",_xlfn.IFNA(VLOOKUP($A133,Data!$A$2:$C$612,3,FALSE),0),IF(Kielivalinta="Svenska",_xlfn.IFNA(VLOOKUP($B133,Data!$A$2:$C$612,3,FALSE),0))))</f>
        <v/>
      </c>
      <c r="F133" s="119"/>
      <c r="G133" s="119"/>
      <c r="H133" s="119"/>
      <c r="I133" s="119"/>
      <c r="J133" s="119"/>
      <c r="Q133" s="119"/>
      <c r="R133" s="119"/>
      <c r="S133" s="119"/>
      <c r="T133" s="119"/>
      <c r="U133" s="119"/>
      <c r="V133" s="119"/>
      <c r="W133" s="119"/>
    </row>
    <row r="134" spans="1:23" x14ac:dyDescent="0.2">
      <c r="A134" s="119" t="s">
        <v>182</v>
      </c>
      <c r="B134" s="119" t="s">
        <v>1092</v>
      </c>
      <c r="C134" s="115"/>
      <c r="D134" s="123" t="str">
        <f>IF(Kielivalinta="","",IF(Kielivalinta="Suomi",_xlfn.IFNA(VLOOKUP($A134,Data!$A$2:$C$612,2,FALSE),0),IF(Kielivalinta="Svenska",_xlfn.IFNA(VLOOKUP($B134,Data!$A$2:$C$612,2,FALSE),0))))</f>
        <v/>
      </c>
      <c r="E134" s="123" t="str">
        <f>IF(Kielivalinta="","",IF(Kielivalinta="Suomi",_xlfn.IFNA(VLOOKUP($A134,Data!$A$2:$C$612,3,FALSE),0),IF(Kielivalinta="Svenska",_xlfn.IFNA(VLOOKUP($B134,Data!$A$2:$C$612,3,FALSE),0))))</f>
        <v/>
      </c>
      <c r="F134" s="119"/>
      <c r="G134" s="119"/>
      <c r="H134" s="119"/>
      <c r="I134" s="119"/>
      <c r="J134" s="119"/>
      <c r="Q134" s="119"/>
      <c r="R134" s="119"/>
      <c r="S134" s="119"/>
      <c r="T134" s="119"/>
      <c r="U134" s="119"/>
      <c r="V134" s="119"/>
      <c r="W134" s="119"/>
    </row>
    <row r="135" spans="1:23" x14ac:dyDescent="0.2">
      <c r="A135" s="119" t="s">
        <v>183</v>
      </c>
      <c r="B135" s="119" t="s">
        <v>1093</v>
      </c>
      <c r="C135" s="115"/>
      <c r="D135" s="123" t="str">
        <f>IF(Kielivalinta="","",IF(Kielivalinta="Suomi",_xlfn.IFNA(VLOOKUP($A135,Data!$A$2:$C$612,2,FALSE),0),IF(Kielivalinta="Svenska",_xlfn.IFNA(VLOOKUP($B135,Data!$A$2:$C$612,2,FALSE),0))))</f>
        <v/>
      </c>
      <c r="E135" s="123" t="str">
        <f>IF(Kielivalinta="","",IF(Kielivalinta="Suomi",_xlfn.IFNA(VLOOKUP($A135,Data!$A$2:$C$612,3,FALSE),0),IF(Kielivalinta="Svenska",_xlfn.IFNA(VLOOKUP($B135,Data!$A$2:$C$612,3,FALSE),0))))</f>
        <v/>
      </c>
      <c r="F135" s="119"/>
      <c r="G135" s="119"/>
      <c r="H135" s="119"/>
      <c r="I135" s="119"/>
      <c r="J135" s="119"/>
      <c r="Q135" s="119"/>
      <c r="R135" s="119"/>
      <c r="S135" s="119"/>
      <c r="T135" s="119"/>
      <c r="U135" s="119"/>
      <c r="V135" s="119"/>
      <c r="W135" s="119"/>
    </row>
    <row r="136" spans="1:23" x14ac:dyDescent="0.2">
      <c r="A136" s="122" t="s">
        <v>184</v>
      </c>
      <c r="B136" s="122" t="s">
        <v>744</v>
      </c>
      <c r="C136" s="115"/>
      <c r="D136" s="123" t="str">
        <f>IF(Kielivalinta="","",IF(Kielivalinta="Suomi",_xlfn.IFNA(VLOOKUP($A136,Data!$A$2:$C$612,2,FALSE),0),IF(Kielivalinta="Svenska",_xlfn.IFNA(VLOOKUP($B136,Data!$A$2:$C$612,2,FALSE),0))))</f>
        <v/>
      </c>
      <c r="E136" s="123" t="str">
        <f>IF(Kielivalinta="","",IF(Kielivalinta="Suomi",_xlfn.IFNA(VLOOKUP($A136,Data!$A$2:$C$612,3,FALSE),0),IF(Kielivalinta="Svenska",_xlfn.IFNA(VLOOKUP($B136,Data!$A$2:$C$612,3,FALSE),0))))</f>
        <v/>
      </c>
      <c r="F136" s="119"/>
      <c r="G136" s="119"/>
      <c r="H136" s="119"/>
      <c r="I136" s="119"/>
      <c r="J136" s="119"/>
      <c r="Q136" s="122"/>
      <c r="R136" s="119"/>
      <c r="S136" s="119"/>
      <c r="T136" s="119"/>
      <c r="U136" s="119"/>
      <c r="V136" s="119"/>
      <c r="W136" s="119"/>
    </row>
    <row r="137" spans="1:23" x14ac:dyDescent="0.2">
      <c r="A137" s="119" t="s">
        <v>185</v>
      </c>
      <c r="B137" s="119" t="s">
        <v>1094</v>
      </c>
      <c r="C137" s="115"/>
      <c r="D137" s="123" t="str">
        <f>IF(Kielivalinta="","",IF(Kielivalinta="Suomi",_xlfn.IFNA(VLOOKUP($A137,Data!$A$2:$C$612,2,FALSE),0),IF(Kielivalinta="Svenska",_xlfn.IFNA(VLOOKUP($B137,Data!$A$2:$C$612,2,FALSE),0))))</f>
        <v/>
      </c>
      <c r="E137" s="123" t="str">
        <f>IF(Kielivalinta="","",IF(Kielivalinta="Suomi",_xlfn.IFNA(VLOOKUP($A137,Data!$A$2:$C$612,3,FALSE),0),IF(Kielivalinta="Svenska",_xlfn.IFNA(VLOOKUP($B137,Data!$A$2:$C$612,3,FALSE),0))))</f>
        <v/>
      </c>
      <c r="F137" s="119"/>
      <c r="G137" s="119"/>
      <c r="H137" s="119"/>
      <c r="I137" s="119"/>
      <c r="J137" s="119"/>
      <c r="Q137" s="119"/>
      <c r="R137" s="119"/>
      <c r="S137" s="119"/>
      <c r="T137" s="119"/>
      <c r="U137" s="119"/>
      <c r="V137" s="119"/>
      <c r="W137" s="119"/>
    </row>
    <row r="138" spans="1:23" x14ac:dyDescent="0.2">
      <c r="A138" s="122" t="s">
        <v>186</v>
      </c>
      <c r="B138" s="122" t="s">
        <v>745</v>
      </c>
      <c r="C138" s="115"/>
      <c r="D138" s="123" t="str">
        <f>IF(Kielivalinta="","",IF(Kielivalinta="Suomi",_xlfn.IFNA(VLOOKUP($A138,Data!$A$2:$C$612,2,FALSE),0),IF(Kielivalinta="Svenska",_xlfn.IFNA(VLOOKUP($B138,Data!$A$2:$C$612,2,FALSE),0))))</f>
        <v/>
      </c>
      <c r="E138" s="123" t="str">
        <f>IF(Kielivalinta="","",IF(Kielivalinta="Suomi",_xlfn.IFNA(VLOOKUP($A138,Data!$A$2:$C$612,3,FALSE),0),IF(Kielivalinta="Svenska",_xlfn.IFNA(VLOOKUP($B138,Data!$A$2:$C$612,3,FALSE),0))))</f>
        <v/>
      </c>
      <c r="F138" s="119"/>
      <c r="G138" s="119"/>
      <c r="H138" s="119"/>
      <c r="I138" s="119"/>
      <c r="J138" s="119"/>
      <c r="Q138" s="122"/>
      <c r="R138" s="119"/>
      <c r="S138" s="119"/>
      <c r="T138" s="119"/>
      <c r="U138" s="119"/>
      <c r="V138" s="119"/>
      <c r="W138" s="119"/>
    </row>
    <row r="139" spans="1:23" x14ac:dyDescent="0.2">
      <c r="A139" s="119" t="s">
        <v>187</v>
      </c>
      <c r="B139" s="119" t="s">
        <v>1095</v>
      </c>
      <c r="C139" s="115"/>
      <c r="D139" s="123" t="str">
        <f>IF(Kielivalinta="","",IF(Kielivalinta="Suomi",_xlfn.IFNA(VLOOKUP($A139,Data!$A$2:$C$612,2,FALSE),0),IF(Kielivalinta="Svenska",_xlfn.IFNA(VLOOKUP($B139,Data!$A$2:$C$612,2,FALSE),0))))</f>
        <v/>
      </c>
      <c r="E139" s="123" t="str">
        <f>IF(Kielivalinta="","",IF(Kielivalinta="Suomi",_xlfn.IFNA(VLOOKUP($A139,Data!$A$2:$C$612,3,FALSE),0),IF(Kielivalinta="Svenska",_xlfn.IFNA(VLOOKUP($B139,Data!$A$2:$C$612,3,FALSE),0))))</f>
        <v/>
      </c>
      <c r="F139" s="119"/>
      <c r="G139" s="119"/>
      <c r="H139" s="119"/>
      <c r="I139" s="119"/>
      <c r="J139" s="119"/>
      <c r="Q139" s="119"/>
      <c r="R139" s="119"/>
      <c r="S139" s="119"/>
      <c r="T139" s="119"/>
      <c r="U139" s="119"/>
      <c r="V139" s="119"/>
      <c r="W139" s="119"/>
    </row>
    <row r="140" spans="1:23" x14ac:dyDescent="0.2">
      <c r="A140" s="119" t="s">
        <v>188</v>
      </c>
      <c r="B140" s="119" t="s">
        <v>1096</v>
      </c>
      <c r="C140" s="115"/>
      <c r="D140" s="123" t="str">
        <f>IF(Kielivalinta="","",IF(Kielivalinta="Suomi",_xlfn.IFNA(VLOOKUP($A140,Data!$A$2:$C$612,2,FALSE),0),IF(Kielivalinta="Svenska",_xlfn.IFNA(VLOOKUP($B140,Data!$A$2:$C$612,2,FALSE),0))))</f>
        <v/>
      </c>
      <c r="E140" s="123" t="str">
        <f>IF(Kielivalinta="","",IF(Kielivalinta="Suomi",_xlfn.IFNA(VLOOKUP($A140,Data!$A$2:$C$612,3,FALSE),0),IF(Kielivalinta="Svenska",_xlfn.IFNA(VLOOKUP($B140,Data!$A$2:$C$612,3,FALSE),0))))</f>
        <v/>
      </c>
      <c r="F140" s="119"/>
      <c r="G140" s="119"/>
      <c r="H140" s="119"/>
      <c r="I140" s="119"/>
      <c r="J140" s="119"/>
      <c r="Q140" s="119"/>
      <c r="R140" s="119"/>
      <c r="S140" s="119"/>
      <c r="T140" s="119"/>
      <c r="U140" s="119"/>
      <c r="V140" s="119"/>
      <c r="W140" s="119"/>
    </row>
    <row r="141" spans="1:23" x14ac:dyDescent="0.2">
      <c r="A141" s="119" t="s">
        <v>189</v>
      </c>
      <c r="B141" s="119" t="s">
        <v>1097</v>
      </c>
      <c r="C141" s="115"/>
      <c r="D141" s="123" t="str">
        <f>IF(Kielivalinta="","",IF(Kielivalinta="Suomi",_xlfn.IFNA(VLOOKUP($A141,Data!$A$2:$C$612,2,FALSE),0),IF(Kielivalinta="Svenska",_xlfn.IFNA(VLOOKUP($B141,Data!$A$2:$C$612,2,FALSE),0))))</f>
        <v/>
      </c>
      <c r="E141" s="123" t="str">
        <f>IF(Kielivalinta="","",IF(Kielivalinta="Suomi",_xlfn.IFNA(VLOOKUP($A141,Data!$A$2:$C$612,3,FALSE),0),IF(Kielivalinta="Svenska",_xlfn.IFNA(VLOOKUP($B141,Data!$A$2:$C$612,3,FALSE),0))))</f>
        <v/>
      </c>
      <c r="F141" s="119"/>
      <c r="G141" s="119"/>
      <c r="H141" s="119"/>
      <c r="I141" s="119"/>
      <c r="J141" s="119"/>
      <c r="Q141" s="119"/>
      <c r="R141" s="119"/>
      <c r="S141" s="119"/>
      <c r="T141" s="119"/>
      <c r="U141" s="119"/>
      <c r="V141" s="119"/>
      <c r="W141" s="119"/>
    </row>
    <row r="142" spans="1:23" x14ac:dyDescent="0.2">
      <c r="A142" s="119" t="s">
        <v>190</v>
      </c>
      <c r="B142" s="119" t="s">
        <v>1098</v>
      </c>
      <c r="C142" s="115"/>
      <c r="D142" s="123" t="str">
        <f>IF(Kielivalinta="","",IF(Kielivalinta="Suomi",_xlfn.IFNA(VLOOKUP($A142,Data!$A$2:$C$612,2,FALSE),0),IF(Kielivalinta="Svenska",_xlfn.IFNA(VLOOKUP($B142,Data!$A$2:$C$612,2,FALSE),0))))</f>
        <v/>
      </c>
      <c r="E142" s="123" t="str">
        <f>IF(Kielivalinta="","",IF(Kielivalinta="Suomi",_xlfn.IFNA(VLOOKUP($A142,Data!$A$2:$C$612,3,FALSE),0),IF(Kielivalinta="Svenska",_xlfn.IFNA(VLOOKUP($B142,Data!$A$2:$C$612,3,FALSE),0))))</f>
        <v/>
      </c>
      <c r="F142" s="119"/>
      <c r="G142" s="119"/>
      <c r="H142" s="119"/>
      <c r="I142" s="119"/>
      <c r="J142" s="119"/>
      <c r="Q142" s="119"/>
      <c r="R142" s="119"/>
      <c r="S142" s="119"/>
      <c r="T142" s="119"/>
      <c r="U142" s="119"/>
      <c r="V142" s="119"/>
      <c r="W142" s="119"/>
    </row>
    <row r="143" spans="1:23" x14ac:dyDescent="0.2">
      <c r="A143" s="119" t="s">
        <v>191</v>
      </c>
      <c r="B143" s="119" t="s">
        <v>1099</v>
      </c>
      <c r="C143" s="115"/>
      <c r="D143" s="123" t="str">
        <f>IF(Kielivalinta="","",IF(Kielivalinta="Suomi",_xlfn.IFNA(VLOOKUP($A143,Data!$A$2:$C$612,2,FALSE),0),IF(Kielivalinta="Svenska",_xlfn.IFNA(VLOOKUP($B143,Data!$A$2:$C$612,2,FALSE),0))))</f>
        <v/>
      </c>
      <c r="E143" s="123" t="str">
        <f>IF(Kielivalinta="","",IF(Kielivalinta="Suomi",_xlfn.IFNA(VLOOKUP($A143,Data!$A$2:$C$612,3,FALSE),0),IF(Kielivalinta="Svenska",_xlfn.IFNA(VLOOKUP($B143,Data!$A$2:$C$612,3,FALSE),0))))</f>
        <v/>
      </c>
      <c r="F143" s="119"/>
      <c r="G143" s="119"/>
      <c r="H143" s="119"/>
      <c r="I143" s="119"/>
      <c r="J143" s="119"/>
      <c r="Q143" s="119"/>
      <c r="R143" s="119"/>
      <c r="S143" s="119"/>
      <c r="T143" s="119"/>
      <c r="U143" s="119"/>
      <c r="V143" s="119"/>
      <c r="W143" s="119"/>
    </row>
    <row r="144" spans="1:23" x14ac:dyDescent="0.2">
      <c r="A144" s="122" t="s">
        <v>192</v>
      </c>
      <c r="B144" s="122" t="s">
        <v>746</v>
      </c>
      <c r="C144" s="115"/>
      <c r="D144" s="123" t="str">
        <f>IF(Kielivalinta="","",IF(Kielivalinta="Suomi",_xlfn.IFNA(VLOOKUP($A144,Data!$A$2:$C$612,2,FALSE),0),IF(Kielivalinta="Svenska",_xlfn.IFNA(VLOOKUP($B144,Data!$A$2:$C$612,2,FALSE),0))))</f>
        <v/>
      </c>
      <c r="E144" s="123" t="str">
        <f>IF(Kielivalinta="","",IF(Kielivalinta="Suomi",_xlfn.IFNA(VLOOKUP($A144,Data!$A$2:$C$612,3,FALSE),0),IF(Kielivalinta="Svenska",_xlfn.IFNA(VLOOKUP($B144,Data!$A$2:$C$612,3,FALSE),0))))</f>
        <v/>
      </c>
      <c r="F144" s="119"/>
      <c r="G144" s="119"/>
      <c r="H144" s="119"/>
      <c r="I144" s="119"/>
      <c r="J144" s="119"/>
      <c r="Q144" s="122"/>
      <c r="R144" s="119"/>
      <c r="S144" s="119"/>
      <c r="T144" s="119"/>
      <c r="U144" s="119"/>
      <c r="V144" s="119"/>
      <c r="W144" s="119"/>
    </row>
    <row r="145" spans="1:23" x14ac:dyDescent="0.2">
      <c r="A145" s="119" t="s">
        <v>193</v>
      </c>
      <c r="B145" s="119" t="s">
        <v>1100</v>
      </c>
      <c r="C145" s="115"/>
      <c r="D145" s="123" t="str">
        <f>IF(Kielivalinta="","",IF(Kielivalinta="Suomi",_xlfn.IFNA(VLOOKUP($A145,Data!$A$2:$C$612,2,FALSE),0),IF(Kielivalinta="Svenska",_xlfn.IFNA(VLOOKUP($B145,Data!$A$2:$C$612,2,FALSE),0))))</f>
        <v/>
      </c>
      <c r="E145" s="123" t="str">
        <f>IF(Kielivalinta="","",IF(Kielivalinta="Suomi",_xlfn.IFNA(VLOOKUP($A145,Data!$A$2:$C$612,3,FALSE),0),IF(Kielivalinta="Svenska",_xlfn.IFNA(VLOOKUP($B145,Data!$A$2:$C$612,3,FALSE),0))))</f>
        <v/>
      </c>
      <c r="F145" s="119"/>
      <c r="G145" s="119"/>
      <c r="H145" s="119"/>
      <c r="I145" s="119"/>
      <c r="J145" s="119"/>
      <c r="Q145" s="119"/>
      <c r="R145" s="119"/>
      <c r="S145" s="119"/>
      <c r="T145" s="119"/>
      <c r="U145" s="119"/>
      <c r="V145" s="119"/>
      <c r="W145" s="119"/>
    </row>
    <row r="146" spans="1:23" x14ac:dyDescent="0.2">
      <c r="A146" s="122" t="s">
        <v>194</v>
      </c>
      <c r="B146" s="122" t="s">
        <v>747</v>
      </c>
      <c r="C146" s="115"/>
      <c r="D146" s="123" t="str">
        <f>IF(Kielivalinta="","",IF(Kielivalinta="Suomi",_xlfn.IFNA(VLOOKUP($A146,Data!$A$2:$C$612,2,FALSE),0),IF(Kielivalinta="Svenska",_xlfn.IFNA(VLOOKUP($B146,Data!$A$2:$C$612,2,FALSE),0))))</f>
        <v/>
      </c>
      <c r="E146" s="123" t="str">
        <f>IF(Kielivalinta="","",IF(Kielivalinta="Suomi",_xlfn.IFNA(VLOOKUP($A146,Data!$A$2:$C$612,3,FALSE),0),IF(Kielivalinta="Svenska",_xlfn.IFNA(VLOOKUP($B146,Data!$A$2:$C$612,3,FALSE),0))))</f>
        <v/>
      </c>
      <c r="F146" s="119"/>
      <c r="G146" s="119"/>
      <c r="H146" s="119"/>
      <c r="I146" s="119"/>
      <c r="J146" s="119"/>
      <c r="Q146" s="122"/>
      <c r="R146" s="119"/>
      <c r="S146" s="119"/>
      <c r="T146" s="119"/>
      <c r="U146" s="119"/>
      <c r="V146" s="119"/>
      <c r="W146" s="119"/>
    </row>
    <row r="147" spans="1:23" x14ac:dyDescent="0.2">
      <c r="A147" s="119" t="s">
        <v>195</v>
      </c>
      <c r="B147" s="119" t="s">
        <v>1101</v>
      </c>
      <c r="C147" s="115"/>
      <c r="D147" s="123" t="str">
        <f>IF(Kielivalinta="","",IF(Kielivalinta="Suomi",_xlfn.IFNA(VLOOKUP($A147,Data!$A$2:$C$612,2,FALSE),0),IF(Kielivalinta="Svenska",_xlfn.IFNA(VLOOKUP($B147,Data!$A$2:$C$612,2,FALSE),0))))</f>
        <v/>
      </c>
      <c r="E147" s="123" t="str">
        <f>IF(Kielivalinta="","",IF(Kielivalinta="Suomi",_xlfn.IFNA(VLOOKUP($A147,Data!$A$2:$C$612,3,FALSE),0),IF(Kielivalinta="Svenska",_xlfn.IFNA(VLOOKUP($B147,Data!$A$2:$C$612,3,FALSE),0))))</f>
        <v/>
      </c>
      <c r="F147" s="119"/>
      <c r="G147" s="119"/>
      <c r="H147" s="119"/>
      <c r="I147" s="119"/>
      <c r="J147" s="119"/>
      <c r="Q147" s="119"/>
      <c r="R147" s="119"/>
      <c r="S147" s="119"/>
      <c r="T147" s="119"/>
      <c r="U147" s="119"/>
      <c r="V147" s="119"/>
      <c r="W147" s="119"/>
    </row>
    <row r="148" spans="1:23" x14ac:dyDescent="0.2">
      <c r="A148" s="122" t="s">
        <v>196</v>
      </c>
      <c r="B148" s="122" t="s">
        <v>748</v>
      </c>
      <c r="C148" s="115"/>
      <c r="D148" s="123" t="str">
        <f>IF(Kielivalinta="","",IF(Kielivalinta="Suomi",_xlfn.IFNA(VLOOKUP($A148,Data!$A$2:$C$612,2,FALSE),0),IF(Kielivalinta="Svenska",_xlfn.IFNA(VLOOKUP($B148,Data!$A$2:$C$612,2,FALSE),0))))</f>
        <v/>
      </c>
      <c r="E148" s="123" t="str">
        <f>IF(Kielivalinta="","",IF(Kielivalinta="Suomi",_xlfn.IFNA(VLOOKUP($A148,Data!$A$2:$C$612,3,FALSE),0),IF(Kielivalinta="Svenska",_xlfn.IFNA(VLOOKUP($B148,Data!$A$2:$C$612,3,FALSE),0))))</f>
        <v/>
      </c>
      <c r="F148" s="119"/>
      <c r="G148" s="119"/>
      <c r="H148" s="119"/>
      <c r="I148" s="119"/>
      <c r="J148" s="119"/>
      <c r="Q148" s="122"/>
      <c r="R148" s="119"/>
      <c r="S148" s="119"/>
      <c r="T148" s="119"/>
      <c r="U148" s="119"/>
      <c r="V148" s="119"/>
      <c r="W148" s="119"/>
    </row>
    <row r="149" spans="1:23" x14ac:dyDescent="0.2">
      <c r="A149" s="119" t="s">
        <v>197</v>
      </c>
      <c r="B149" s="119" t="s">
        <v>1102</v>
      </c>
      <c r="C149" s="115"/>
      <c r="D149" s="123" t="str">
        <f>IF(Kielivalinta="","",IF(Kielivalinta="Suomi",_xlfn.IFNA(VLOOKUP($A149,Data!$A$2:$C$612,2,FALSE),0),IF(Kielivalinta="Svenska",_xlfn.IFNA(VLOOKUP($B149,Data!$A$2:$C$612,2,FALSE),0))))</f>
        <v/>
      </c>
      <c r="E149" s="123" t="str">
        <f>IF(Kielivalinta="","",IF(Kielivalinta="Suomi",_xlfn.IFNA(VLOOKUP($A149,Data!$A$2:$C$612,3,FALSE),0),IF(Kielivalinta="Svenska",_xlfn.IFNA(VLOOKUP($B149,Data!$A$2:$C$612,3,FALSE),0))))</f>
        <v/>
      </c>
      <c r="F149" s="119"/>
      <c r="G149" s="119"/>
      <c r="H149" s="119"/>
      <c r="I149" s="119"/>
      <c r="J149" s="119"/>
      <c r="Q149" s="119"/>
      <c r="R149" s="119"/>
      <c r="S149" s="119"/>
      <c r="T149" s="119"/>
      <c r="U149" s="119"/>
      <c r="V149" s="119"/>
      <c r="W149" s="119"/>
    </row>
    <row r="150" spans="1:23" x14ac:dyDescent="0.2">
      <c r="A150" s="122" t="s">
        <v>198</v>
      </c>
      <c r="B150" s="122" t="s">
        <v>749</v>
      </c>
      <c r="C150" s="115"/>
      <c r="D150" s="123" t="str">
        <f>IF(Kielivalinta="","",IF(Kielivalinta="Suomi",_xlfn.IFNA(VLOOKUP($A150,Data!$A$2:$C$612,2,FALSE),0),IF(Kielivalinta="Svenska",_xlfn.IFNA(VLOOKUP($B150,Data!$A$2:$C$612,2,FALSE),0))))</f>
        <v/>
      </c>
      <c r="E150" s="123" t="str">
        <f>IF(Kielivalinta="","",IF(Kielivalinta="Suomi",_xlfn.IFNA(VLOOKUP($A150,Data!$A$2:$C$612,3,FALSE),0),IF(Kielivalinta="Svenska",_xlfn.IFNA(VLOOKUP($B150,Data!$A$2:$C$612,3,FALSE),0))))</f>
        <v/>
      </c>
      <c r="F150" s="119"/>
      <c r="G150" s="119"/>
      <c r="H150" s="119"/>
      <c r="I150" s="119"/>
      <c r="J150" s="119"/>
      <c r="Q150" s="122"/>
      <c r="R150" s="119"/>
      <c r="S150" s="119"/>
      <c r="T150" s="119"/>
      <c r="U150" s="119"/>
      <c r="V150" s="119"/>
      <c r="W150" s="119"/>
    </row>
    <row r="151" spans="1:23" x14ac:dyDescent="0.2">
      <c r="A151" s="122" t="s">
        <v>199</v>
      </c>
      <c r="B151" s="122" t="s">
        <v>750</v>
      </c>
      <c r="C151" s="115"/>
      <c r="D151" s="123" t="str">
        <f>IF(Kielivalinta="","",IF(Kielivalinta="Suomi",_xlfn.IFNA(VLOOKUP($A151,Data!$A$2:$C$612,2,FALSE),0),IF(Kielivalinta="Svenska",_xlfn.IFNA(VLOOKUP($B151,Data!$A$2:$C$612,2,FALSE),0))))</f>
        <v/>
      </c>
      <c r="E151" s="123" t="str">
        <f>IF(Kielivalinta="","",IF(Kielivalinta="Suomi",_xlfn.IFNA(VLOOKUP($A151,Data!$A$2:$C$612,3,FALSE),0),IF(Kielivalinta="Svenska",_xlfn.IFNA(VLOOKUP($B151,Data!$A$2:$C$612,3,FALSE),0))))</f>
        <v/>
      </c>
      <c r="F151" s="119"/>
      <c r="G151" s="119"/>
      <c r="H151" s="119"/>
      <c r="I151" s="119"/>
      <c r="J151" s="119"/>
      <c r="Q151" s="122"/>
      <c r="R151" s="119"/>
      <c r="S151" s="119"/>
      <c r="T151" s="119"/>
      <c r="U151" s="119"/>
      <c r="V151" s="119"/>
      <c r="W151" s="119"/>
    </row>
    <row r="152" spans="1:23" x14ac:dyDescent="0.2">
      <c r="A152" s="122" t="s">
        <v>200</v>
      </c>
      <c r="B152" s="122" t="s">
        <v>751</v>
      </c>
      <c r="C152" s="115"/>
      <c r="D152" s="123" t="str">
        <f>IF(Kielivalinta="","",IF(Kielivalinta="Suomi",_xlfn.IFNA(VLOOKUP($A152,Data!$A$2:$C$612,2,FALSE),0),IF(Kielivalinta="Svenska",_xlfn.IFNA(VLOOKUP($B152,Data!$A$2:$C$612,2,FALSE),0))))</f>
        <v/>
      </c>
      <c r="E152" s="123" t="str">
        <f>IF(Kielivalinta="","",IF(Kielivalinta="Suomi",_xlfn.IFNA(VLOOKUP($A152,Data!$A$2:$C$612,3,FALSE),0),IF(Kielivalinta="Svenska",_xlfn.IFNA(VLOOKUP($B152,Data!$A$2:$C$612,3,FALSE),0))))</f>
        <v/>
      </c>
      <c r="F152" s="119"/>
      <c r="G152" s="119"/>
      <c r="H152" s="119"/>
      <c r="I152" s="119"/>
      <c r="J152" s="119"/>
      <c r="Q152" s="122"/>
      <c r="R152" s="119"/>
      <c r="S152" s="119"/>
      <c r="T152" s="119"/>
      <c r="U152" s="119"/>
      <c r="V152" s="119"/>
      <c r="W152" s="119"/>
    </row>
    <row r="153" spans="1:23" x14ac:dyDescent="0.2">
      <c r="A153" s="119" t="s">
        <v>201</v>
      </c>
      <c r="B153" s="119" t="s">
        <v>1103</v>
      </c>
      <c r="C153" s="115"/>
      <c r="D153" s="123" t="str">
        <f>IF(Kielivalinta="","",IF(Kielivalinta="Suomi",_xlfn.IFNA(VLOOKUP($A153,Data!$A$2:$C$612,2,FALSE),0),IF(Kielivalinta="Svenska",_xlfn.IFNA(VLOOKUP($B153,Data!$A$2:$C$612,2,FALSE),0))))</f>
        <v/>
      </c>
      <c r="E153" s="123" t="str">
        <f>IF(Kielivalinta="","",IF(Kielivalinta="Suomi",_xlfn.IFNA(VLOOKUP($A153,Data!$A$2:$C$612,3,FALSE),0),IF(Kielivalinta="Svenska",_xlfn.IFNA(VLOOKUP($B153,Data!$A$2:$C$612,3,FALSE),0))))</f>
        <v/>
      </c>
      <c r="F153" s="119"/>
      <c r="G153" s="119"/>
      <c r="H153" s="119"/>
      <c r="I153" s="119"/>
      <c r="J153" s="119"/>
      <c r="Q153" s="119"/>
      <c r="R153" s="119"/>
      <c r="S153" s="119"/>
      <c r="T153" s="119"/>
      <c r="U153" s="119"/>
      <c r="V153" s="119"/>
      <c r="W153" s="119"/>
    </row>
    <row r="154" spans="1:23" x14ac:dyDescent="0.2">
      <c r="A154" s="122" t="s">
        <v>202</v>
      </c>
      <c r="B154" s="122" t="s">
        <v>752</v>
      </c>
      <c r="C154" s="115"/>
      <c r="D154" s="123" t="str">
        <f>IF(Kielivalinta="","",IF(Kielivalinta="Suomi",_xlfn.IFNA(VLOOKUP($A154,Data!$A$2:$C$612,2,FALSE),0),IF(Kielivalinta="Svenska",_xlfn.IFNA(VLOOKUP($B154,Data!$A$2:$C$612,2,FALSE),0))))</f>
        <v/>
      </c>
      <c r="E154" s="123" t="str">
        <f>IF(Kielivalinta="","",IF(Kielivalinta="Suomi",_xlfn.IFNA(VLOOKUP($A154,Data!$A$2:$C$612,3,FALSE),0),IF(Kielivalinta="Svenska",_xlfn.IFNA(VLOOKUP($B154,Data!$A$2:$C$612,3,FALSE),0))))</f>
        <v/>
      </c>
      <c r="F154" s="119"/>
      <c r="G154" s="119"/>
      <c r="H154" s="119"/>
      <c r="I154" s="119"/>
      <c r="J154" s="119"/>
      <c r="Q154" s="122"/>
      <c r="R154" s="119"/>
      <c r="S154" s="119"/>
      <c r="T154" s="119"/>
      <c r="U154" s="119"/>
      <c r="V154" s="119"/>
      <c r="W154" s="119"/>
    </row>
    <row r="155" spans="1:23" x14ac:dyDescent="0.2">
      <c r="A155" s="122" t="s">
        <v>203</v>
      </c>
      <c r="B155" s="122" t="s">
        <v>753</v>
      </c>
      <c r="C155" s="115"/>
      <c r="D155" s="123" t="str">
        <f>IF(Kielivalinta="","",IF(Kielivalinta="Suomi",_xlfn.IFNA(VLOOKUP($A155,Data!$A$2:$C$612,2,FALSE),0),IF(Kielivalinta="Svenska",_xlfn.IFNA(VLOOKUP($B155,Data!$A$2:$C$612,2,FALSE),0))))</f>
        <v/>
      </c>
      <c r="E155" s="123" t="str">
        <f>IF(Kielivalinta="","",IF(Kielivalinta="Suomi",_xlfn.IFNA(VLOOKUP($A155,Data!$A$2:$C$612,3,FALSE),0),IF(Kielivalinta="Svenska",_xlfn.IFNA(VLOOKUP($B155,Data!$A$2:$C$612,3,FALSE),0))))</f>
        <v/>
      </c>
      <c r="F155" s="119"/>
      <c r="G155" s="119"/>
      <c r="H155" s="119"/>
      <c r="I155" s="119"/>
      <c r="J155" s="119"/>
      <c r="Q155" s="122"/>
      <c r="R155" s="119"/>
      <c r="S155" s="119"/>
      <c r="T155" s="119"/>
      <c r="U155" s="119"/>
      <c r="V155" s="119"/>
      <c r="W155" s="119"/>
    </row>
    <row r="156" spans="1:23" x14ac:dyDescent="0.2">
      <c r="A156" s="122" t="s">
        <v>204</v>
      </c>
      <c r="B156" s="122" t="s">
        <v>754</v>
      </c>
      <c r="C156" s="115"/>
      <c r="D156" s="123" t="str">
        <f>IF(Kielivalinta="","",IF(Kielivalinta="Suomi",_xlfn.IFNA(VLOOKUP($A156,Data!$A$2:$C$612,2,FALSE),0),IF(Kielivalinta="Svenska",_xlfn.IFNA(VLOOKUP($B156,Data!$A$2:$C$612,2,FALSE),0))))</f>
        <v/>
      </c>
      <c r="E156" s="123" t="str">
        <f>IF(Kielivalinta="","",IF(Kielivalinta="Suomi",_xlfn.IFNA(VLOOKUP($A156,Data!$A$2:$C$612,3,FALSE),0),IF(Kielivalinta="Svenska",_xlfn.IFNA(VLOOKUP($B156,Data!$A$2:$C$612,3,FALSE),0))))</f>
        <v/>
      </c>
      <c r="F156" s="119"/>
      <c r="G156" s="119"/>
      <c r="H156" s="119"/>
      <c r="I156" s="119"/>
      <c r="J156" s="119"/>
      <c r="Q156" s="122"/>
      <c r="R156" s="119"/>
      <c r="S156" s="119"/>
      <c r="T156" s="119"/>
      <c r="U156" s="119"/>
      <c r="V156" s="119"/>
      <c r="W156" s="119"/>
    </row>
    <row r="157" spans="1:23" x14ac:dyDescent="0.2">
      <c r="A157" s="122" t="s">
        <v>205</v>
      </c>
      <c r="B157" s="122" t="s">
        <v>755</v>
      </c>
      <c r="C157" s="115"/>
      <c r="D157" s="123" t="str">
        <f>IF(Kielivalinta="","",IF(Kielivalinta="Suomi",_xlfn.IFNA(VLOOKUP($A157,Data!$A$2:$C$612,2,FALSE),0),IF(Kielivalinta="Svenska",_xlfn.IFNA(VLOOKUP($B157,Data!$A$2:$C$612,2,FALSE),0))))</f>
        <v/>
      </c>
      <c r="E157" s="123" t="str">
        <f>IF(Kielivalinta="","",IF(Kielivalinta="Suomi",_xlfn.IFNA(VLOOKUP($A157,Data!$A$2:$C$612,3,FALSE),0),IF(Kielivalinta="Svenska",_xlfn.IFNA(VLOOKUP($B157,Data!$A$2:$C$612,3,FALSE),0))))</f>
        <v/>
      </c>
      <c r="F157" s="119"/>
      <c r="G157" s="119"/>
      <c r="H157" s="119"/>
      <c r="I157" s="119"/>
      <c r="J157" s="119"/>
      <c r="Q157" s="122"/>
      <c r="R157" s="119"/>
      <c r="S157" s="119"/>
      <c r="T157" s="119"/>
      <c r="U157" s="119"/>
      <c r="V157" s="119"/>
      <c r="W157" s="119"/>
    </row>
    <row r="158" spans="1:23" x14ac:dyDescent="0.2">
      <c r="A158" s="122" t="s">
        <v>206</v>
      </c>
      <c r="B158" s="122" t="s">
        <v>756</v>
      </c>
      <c r="C158" s="115"/>
      <c r="D158" s="123" t="str">
        <f>IF(Kielivalinta="","",IF(Kielivalinta="Suomi",_xlfn.IFNA(VLOOKUP($A158,Data!$A$2:$C$612,2,FALSE),0),IF(Kielivalinta="Svenska",_xlfn.IFNA(VLOOKUP($B158,Data!$A$2:$C$612,2,FALSE),0))))</f>
        <v/>
      </c>
      <c r="E158" s="123" t="str">
        <f>IF(Kielivalinta="","",IF(Kielivalinta="Suomi",_xlfn.IFNA(VLOOKUP($A158,Data!$A$2:$C$612,3,FALSE),0),IF(Kielivalinta="Svenska",_xlfn.IFNA(VLOOKUP($B158,Data!$A$2:$C$612,3,FALSE),0))))</f>
        <v/>
      </c>
      <c r="F158" s="119"/>
      <c r="G158" s="119"/>
      <c r="H158" s="119"/>
      <c r="I158" s="119"/>
      <c r="J158" s="119"/>
      <c r="Q158" s="122"/>
      <c r="R158" s="119"/>
      <c r="S158" s="119"/>
      <c r="T158" s="119"/>
      <c r="U158" s="119"/>
      <c r="V158" s="119"/>
      <c r="W158" s="119"/>
    </row>
    <row r="159" spans="1:23" x14ac:dyDescent="0.2">
      <c r="A159" s="122" t="s">
        <v>207</v>
      </c>
      <c r="B159" s="122" t="s">
        <v>757</v>
      </c>
      <c r="C159" s="115"/>
      <c r="D159" s="123" t="str">
        <f>IF(Kielivalinta="","",IF(Kielivalinta="Suomi",_xlfn.IFNA(VLOOKUP($A159,Data!$A$2:$C$612,2,FALSE),0),IF(Kielivalinta="Svenska",_xlfn.IFNA(VLOOKUP($B159,Data!$A$2:$C$612,2,FALSE),0))))</f>
        <v/>
      </c>
      <c r="E159" s="123" t="str">
        <f>IF(Kielivalinta="","",IF(Kielivalinta="Suomi",_xlfn.IFNA(VLOOKUP($A159,Data!$A$2:$C$612,3,FALSE),0),IF(Kielivalinta="Svenska",_xlfn.IFNA(VLOOKUP($B159,Data!$A$2:$C$612,3,FALSE),0))))</f>
        <v/>
      </c>
      <c r="F159" s="119"/>
      <c r="G159" s="119"/>
      <c r="H159" s="119"/>
      <c r="I159" s="119"/>
      <c r="J159" s="119"/>
      <c r="Q159" s="122"/>
      <c r="R159" s="119"/>
      <c r="S159" s="119"/>
      <c r="T159" s="119"/>
      <c r="U159" s="119"/>
      <c r="V159" s="119"/>
      <c r="W159" s="119"/>
    </row>
    <row r="160" spans="1:23" x14ac:dyDescent="0.2">
      <c r="A160" s="119" t="s">
        <v>208</v>
      </c>
      <c r="B160" s="119" t="s">
        <v>1104</v>
      </c>
      <c r="C160" s="115"/>
      <c r="D160" s="123" t="str">
        <f>IF(Kielivalinta="","",IF(Kielivalinta="Suomi",_xlfn.IFNA(VLOOKUP($A160,Data!$A$2:$C$612,2,FALSE),0),IF(Kielivalinta="Svenska",_xlfn.IFNA(VLOOKUP($B160,Data!$A$2:$C$612,2,FALSE),0))))</f>
        <v/>
      </c>
      <c r="E160" s="123" t="str">
        <f>IF(Kielivalinta="","",IF(Kielivalinta="Suomi",_xlfn.IFNA(VLOOKUP($A160,Data!$A$2:$C$612,3,FALSE),0),IF(Kielivalinta="Svenska",_xlfn.IFNA(VLOOKUP($B160,Data!$A$2:$C$612,3,FALSE),0))))</f>
        <v/>
      </c>
      <c r="F160" s="119"/>
      <c r="G160" s="119"/>
      <c r="H160" s="119"/>
      <c r="I160" s="119"/>
      <c r="J160" s="119"/>
      <c r="Q160" s="119"/>
      <c r="R160" s="119"/>
      <c r="S160" s="119"/>
      <c r="T160" s="119"/>
      <c r="U160" s="119"/>
      <c r="V160" s="119"/>
      <c r="W160" s="119"/>
    </row>
    <row r="161" spans="1:23" x14ac:dyDescent="0.2">
      <c r="A161" s="119" t="s">
        <v>209</v>
      </c>
      <c r="B161" s="119" t="s">
        <v>1105</v>
      </c>
      <c r="C161" s="115"/>
      <c r="D161" s="123" t="str">
        <f>IF(Kielivalinta="","",IF(Kielivalinta="Suomi",_xlfn.IFNA(VLOOKUP($A161,Data!$A$2:$C$612,2,FALSE),0),IF(Kielivalinta="Svenska",_xlfn.IFNA(VLOOKUP($B161,Data!$A$2:$C$612,2,FALSE),0))))</f>
        <v/>
      </c>
      <c r="E161" s="123" t="str">
        <f>IF(Kielivalinta="","",IF(Kielivalinta="Suomi",_xlfn.IFNA(VLOOKUP($A161,Data!$A$2:$C$612,3,FALSE),0),IF(Kielivalinta="Svenska",_xlfn.IFNA(VLOOKUP($B161,Data!$A$2:$C$612,3,FALSE),0))))</f>
        <v/>
      </c>
      <c r="F161" s="119"/>
      <c r="G161" s="119"/>
      <c r="H161" s="119"/>
      <c r="I161" s="119"/>
      <c r="J161" s="119"/>
      <c r="Q161" s="119"/>
      <c r="R161" s="119"/>
      <c r="S161" s="119"/>
      <c r="T161" s="119"/>
      <c r="U161" s="119"/>
      <c r="V161" s="119"/>
      <c r="W161" s="119"/>
    </row>
    <row r="162" spans="1:23" x14ac:dyDescent="0.2">
      <c r="A162" s="122" t="s">
        <v>210</v>
      </c>
      <c r="B162" s="122" t="s">
        <v>758</v>
      </c>
      <c r="C162" s="115"/>
      <c r="D162" s="123" t="str">
        <f>IF(Kielivalinta="","",IF(Kielivalinta="Suomi",_xlfn.IFNA(VLOOKUP($A162,Data!$A$2:$C$612,2,FALSE),0),IF(Kielivalinta="Svenska",_xlfn.IFNA(VLOOKUP($B162,Data!$A$2:$C$612,2,FALSE),0))))</f>
        <v/>
      </c>
      <c r="E162" s="123" t="str">
        <f>IF(Kielivalinta="","",IF(Kielivalinta="Suomi",_xlfn.IFNA(VLOOKUP($A162,Data!$A$2:$C$612,3,FALSE),0),IF(Kielivalinta="Svenska",_xlfn.IFNA(VLOOKUP($B162,Data!$A$2:$C$612,3,FALSE),0))))</f>
        <v/>
      </c>
      <c r="F162" s="119"/>
      <c r="G162" s="119"/>
      <c r="H162" s="119"/>
      <c r="I162" s="119"/>
      <c r="J162" s="119"/>
      <c r="Q162" s="122"/>
      <c r="R162" s="119"/>
      <c r="S162" s="119"/>
      <c r="T162" s="119"/>
      <c r="U162" s="119"/>
      <c r="V162" s="119"/>
      <c r="W162" s="119"/>
    </row>
    <row r="163" spans="1:23" x14ac:dyDescent="0.2">
      <c r="A163" s="122" t="s">
        <v>211</v>
      </c>
      <c r="B163" s="122" t="s">
        <v>759</v>
      </c>
      <c r="C163" s="115"/>
      <c r="D163" s="123" t="str">
        <f>IF(Kielivalinta="","",IF(Kielivalinta="Suomi",_xlfn.IFNA(VLOOKUP($A163,Data!$A$2:$C$612,2,FALSE),0),IF(Kielivalinta="Svenska",_xlfn.IFNA(VLOOKUP($B163,Data!$A$2:$C$612,2,FALSE),0))))</f>
        <v/>
      </c>
      <c r="E163" s="123" t="str">
        <f>IF(Kielivalinta="","",IF(Kielivalinta="Suomi",_xlfn.IFNA(VLOOKUP($A163,Data!$A$2:$C$612,3,FALSE),0),IF(Kielivalinta="Svenska",_xlfn.IFNA(VLOOKUP($B163,Data!$A$2:$C$612,3,FALSE),0))))</f>
        <v/>
      </c>
      <c r="F163" s="119"/>
      <c r="G163" s="119"/>
      <c r="H163" s="119"/>
      <c r="I163" s="119"/>
      <c r="J163" s="119"/>
      <c r="Q163" s="122"/>
      <c r="R163" s="119"/>
      <c r="S163" s="119"/>
      <c r="T163" s="119"/>
      <c r="U163" s="119"/>
      <c r="V163" s="119"/>
      <c r="W163" s="119"/>
    </row>
    <row r="164" spans="1:23" x14ac:dyDescent="0.2">
      <c r="A164" s="119" t="s">
        <v>212</v>
      </c>
      <c r="B164" s="119" t="s">
        <v>1106</v>
      </c>
      <c r="C164" s="115"/>
      <c r="D164" s="123" t="str">
        <f>IF(Kielivalinta="","",IF(Kielivalinta="Suomi",_xlfn.IFNA(VLOOKUP($A164,Data!$A$2:$C$612,2,FALSE),0),IF(Kielivalinta="Svenska",_xlfn.IFNA(VLOOKUP($B164,Data!$A$2:$C$612,2,FALSE),0))))</f>
        <v/>
      </c>
      <c r="E164" s="123" t="str">
        <f>IF(Kielivalinta="","",IF(Kielivalinta="Suomi",_xlfn.IFNA(VLOOKUP($A164,Data!$A$2:$C$612,3,FALSE),0),IF(Kielivalinta="Svenska",_xlfn.IFNA(VLOOKUP($B164,Data!$A$2:$C$612,3,FALSE),0))))</f>
        <v/>
      </c>
      <c r="F164" s="119"/>
      <c r="G164" s="119"/>
      <c r="H164" s="119"/>
      <c r="I164" s="119"/>
      <c r="J164" s="119"/>
      <c r="Q164" s="119"/>
      <c r="R164" s="119"/>
      <c r="S164" s="119"/>
      <c r="T164" s="119"/>
      <c r="U164" s="119"/>
      <c r="V164" s="119"/>
      <c r="W164" s="119"/>
    </row>
    <row r="165" spans="1:23" x14ac:dyDescent="0.2">
      <c r="A165" s="119" t="s">
        <v>213</v>
      </c>
      <c r="B165" s="119" t="s">
        <v>1107</v>
      </c>
      <c r="C165" s="115"/>
      <c r="D165" s="123" t="str">
        <f>IF(Kielivalinta="","",IF(Kielivalinta="Suomi",_xlfn.IFNA(VLOOKUP($A165,Data!$A$2:$C$612,2,FALSE),0),IF(Kielivalinta="Svenska",_xlfn.IFNA(VLOOKUP($B165,Data!$A$2:$C$612,2,FALSE),0))))</f>
        <v/>
      </c>
      <c r="E165" s="123" t="str">
        <f>IF(Kielivalinta="","",IF(Kielivalinta="Suomi",_xlfn.IFNA(VLOOKUP($A165,Data!$A$2:$C$612,3,FALSE),0),IF(Kielivalinta="Svenska",_xlfn.IFNA(VLOOKUP($B165,Data!$A$2:$C$612,3,FALSE),0))))</f>
        <v/>
      </c>
      <c r="F165" s="119"/>
      <c r="G165" s="119"/>
      <c r="H165" s="119"/>
      <c r="I165" s="119"/>
      <c r="J165" s="119"/>
      <c r="Q165" s="119"/>
      <c r="R165" s="119"/>
      <c r="S165" s="119"/>
      <c r="T165" s="119"/>
      <c r="U165" s="119"/>
      <c r="V165" s="119"/>
      <c r="W165" s="119"/>
    </row>
    <row r="166" spans="1:23" x14ac:dyDescent="0.2">
      <c r="A166" s="122" t="s">
        <v>214</v>
      </c>
      <c r="B166" s="122" t="s">
        <v>760</v>
      </c>
      <c r="C166" s="115"/>
      <c r="D166" s="123" t="str">
        <f>IF(Kielivalinta="","",IF(Kielivalinta="Suomi",_xlfn.IFNA(VLOOKUP($A166,Data!$A$2:$C$612,2,FALSE),0),IF(Kielivalinta="Svenska",_xlfn.IFNA(VLOOKUP($B166,Data!$A$2:$C$612,2,FALSE),0))))</f>
        <v/>
      </c>
      <c r="E166" s="123" t="str">
        <f>IF(Kielivalinta="","",IF(Kielivalinta="Suomi",_xlfn.IFNA(VLOOKUP($A166,Data!$A$2:$C$612,3,FALSE),0),IF(Kielivalinta="Svenska",_xlfn.IFNA(VLOOKUP($B166,Data!$A$2:$C$612,3,FALSE),0))))</f>
        <v/>
      </c>
      <c r="F166" s="119"/>
      <c r="G166" s="119"/>
      <c r="H166" s="119"/>
      <c r="I166" s="119"/>
      <c r="J166" s="119"/>
      <c r="Q166" s="122"/>
      <c r="R166" s="119"/>
      <c r="S166" s="119"/>
      <c r="T166" s="119"/>
      <c r="U166" s="119"/>
      <c r="V166" s="119"/>
      <c r="W166" s="119"/>
    </row>
    <row r="167" spans="1:23" x14ac:dyDescent="0.2">
      <c r="A167" s="119" t="s">
        <v>215</v>
      </c>
      <c r="B167" s="119" t="s">
        <v>1108</v>
      </c>
      <c r="C167" s="115"/>
      <c r="D167" s="123" t="str">
        <f>IF(Kielivalinta="","",IF(Kielivalinta="Suomi",_xlfn.IFNA(VLOOKUP($A167,Data!$A$2:$C$612,2,FALSE),0),IF(Kielivalinta="Svenska",_xlfn.IFNA(VLOOKUP($B167,Data!$A$2:$C$612,2,FALSE),0))))</f>
        <v/>
      </c>
      <c r="E167" s="123" t="str">
        <f>IF(Kielivalinta="","",IF(Kielivalinta="Suomi",_xlfn.IFNA(VLOOKUP($A167,Data!$A$2:$C$612,3,FALSE),0),IF(Kielivalinta="Svenska",_xlfn.IFNA(VLOOKUP($B167,Data!$A$2:$C$612,3,FALSE),0))))</f>
        <v/>
      </c>
      <c r="F167" s="119"/>
      <c r="G167" s="119"/>
      <c r="H167" s="119"/>
      <c r="I167" s="119"/>
      <c r="J167" s="119"/>
      <c r="Q167" s="119"/>
      <c r="R167" s="119"/>
      <c r="S167" s="119"/>
      <c r="T167" s="119"/>
      <c r="U167" s="119"/>
      <c r="V167" s="119"/>
      <c r="W167" s="119"/>
    </row>
    <row r="168" spans="1:23" x14ac:dyDescent="0.2">
      <c r="A168" s="119" t="s">
        <v>216</v>
      </c>
      <c r="B168" s="119" t="s">
        <v>1109</v>
      </c>
      <c r="C168" s="115"/>
      <c r="D168" s="123" t="str">
        <f>IF(Kielivalinta="","",IF(Kielivalinta="Suomi",_xlfn.IFNA(VLOOKUP($A168,Data!$A$2:$C$612,2,FALSE),0),IF(Kielivalinta="Svenska",_xlfn.IFNA(VLOOKUP($B168,Data!$A$2:$C$612,2,FALSE),0))))</f>
        <v/>
      </c>
      <c r="E168" s="123" t="str">
        <f>IF(Kielivalinta="","",IF(Kielivalinta="Suomi",_xlfn.IFNA(VLOOKUP($A168,Data!$A$2:$C$612,3,FALSE),0),IF(Kielivalinta="Svenska",_xlfn.IFNA(VLOOKUP($B168,Data!$A$2:$C$612,3,FALSE),0))))</f>
        <v/>
      </c>
      <c r="F168" s="119"/>
      <c r="G168" s="119"/>
      <c r="H168" s="119"/>
      <c r="I168" s="119"/>
      <c r="J168" s="119"/>
      <c r="Q168" s="119"/>
      <c r="R168" s="119"/>
      <c r="S168" s="119"/>
      <c r="T168" s="119"/>
      <c r="U168" s="119"/>
      <c r="V168" s="119"/>
      <c r="W168" s="119"/>
    </row>
    <row r="169" spans="1:23" x14ac:dyDescent="0.2">
      <c r="A169" s="122" t="s">
        <v>217</v>
      </c>
      <c r="B169" s="122" t="s">
        <v>761</v>
      </c>
      <c r="C169" s="115"/>
      <c r="D169" s="123" t="str">
        <f>IF(Kielivalinta="","",IF(Kielivalinta="Suomi",_xlfn.IFNA(VLOOKUP($A169,Data!$A$2:$C$612,2,FALSE),0),IF(Kielivalinta="Svenska",_xlfn.IFNA(VLOOKUP($B169,Data!$A$2:$C$612,2,FALSE),0))))</f>
        <v/>
      </c>
      <c r="E169" s="123" t="str">
        <f>IF(Kielivalinta="","",IF(Kielivalinta="Suomi",_xlfn.IFNA(VLOOKUP($A169,Data!$A$2:$C$612,3,FALSE),0),IF(Kielivalinta="Svenska",_xlfn.IFNA(VLOOKUP($B169,Data!$A$2:$C$612,3,FALSE),0))))</f>
        <v/>
      </c>
      <c r="F169" s="119"/>
      <c r="G169" s="119"/>
      <c r="H169" s="119"/>
      <c r="I169" s="119"/>
      <c r="J169" s="119"/>
      <c r="Q169" s="122"/>
      <c r="R169" s="119"/>
      <c r="S169" s="119"/>
      <c r="T169" s="119"/>
      <c r="U169" s="119"/>
      <c r="V169" s="119"/>
      <c r="W169" s="119"/>
    </row>
    <row r="170" spans="1:23" x14ac:dyDescent="0.2">
      <c r="A170" s="119" t="s">
        <v>218</v>
      </c>
      <c r="B170" s="119" t="s">
        <v>1110</v>
      </c>
      <c r="C170" s="115"/>
      <c r="D170" s="123" t="str">
        <f>IF(Kielivalinta="","",IF(Kielivalinta="Suomi",_xlfn.IFNA(VLOOKUP($A170,Data!$A$2:$C$612,2,FALSE),0),IF(Kielivalinta="Svenska",_xlfn.IFNA(VLOOKUP($B170,Data!$A$2:$C$612,2,FALSE),0))))</f>
        <v/>
      </c>
      <c r="E170" s="123" t="str">
        <f>IF(Kielivalinta="","",IF(Kielivalinta="Suomi",_xlfn.IFNA(VLOOKUP($A170,Data!$A$2:$C$612,3,FALSE),0),IF(Kielivalinta="Svenska",_xlfn.IFNA(VLOOKUP($B170,Data!$A$2:$C$612,3,FALSE),0))))</f>
        <v/>
      </c>
      <c r="F170" s="119"/>
      <c r="G170" s="119"/>
      <c r="H170" s="119"/>
      <c r="I170" s="119"/>
      <c r="J170" s="119"/>
      <c r="Q170" s="119"/>
      <c r="R170" s="119"/>
      <c r="S170" s="119"/>
      <c r="T170" s="119"/>
      <c r="U170" s="119"/>
      <c r="V170" s="119"/>
      <c r="W170" s="119"/>
    </row>
    <row r="171" spans="1:23" x14ac:dyDescent="0.2">
      <c r="A171" s="122" t="s">
        <v>219</v>
      </c>
      <c r="B171" s="122" t="s">
        <v>762</v>
      </c>
      <c r="C171" s="115"/>
      <c r="D171" s="123" t="str">
        <f>IF(Kielivalinta="","",IF(Kielivalinta="Suomi",_xlfn.IFNA(VLOOKUP($A171,Data!$A$2:$C$612,2,FALSE),0),IF(Kielivalinta="Svenska",_xlfn.IFNA(VLOOKUP($B171,Data!$A$2:$C$612,2,FALSE),0))))</f>
        <v/>
      </c>
      <c r="E171" s="123" t="str">
        <f>IF(Kielivalinta="","",IF(Kielivalinta="Suomi",_xlfn.IFNA(VLOOKUP($A171,Data!$A$2:$C$612,3,FALSE),0),IF(Kielivalinta="Svenska",_xlfn.IFNA(VLOOKUP($B171,Data!$A$2:$C$612,3,FALSE),0))))</f>
        <v/>
      </c>
      <c r="F171" s="119"/>
      <c r="G171" s="119"/>
      <c r="H171" s="119"/>
      <c r="I171" s="119"/>
      <c r="J171" s="119"/>
      <c r="Q171" s="122"/>
      <c r="R171" s="119"/>
      <c r="S171" s="119"/>
      <c r="T171" s="119"/>
      <c r="U171" s="119"/>
      <c r="V171" s="119"/>
      <c r="W171" s="119"/>
    </row>
    <row r="172" spans="1:23" x14ac:dyDescent="0.2">
      <c r="A172" s="119" t="s">
        <v>220</v>
      </c>
      <c r="B172" s="119" t="s">
        <v>1111</v>
      </c>
      <c r="C172" s="115"/>
      <c r="D172" s="123" t="str">
        <f>IF(Kielivalinta="","",IF(Kielivalinta="Suomi",_xlfn.IFNA(VLOOKUP($A172,Data!$A$2:$C$612,2,FALSE),0),IF(Kielivalinta="Svenska",_xlfn.IFNA(VLOOKUP($B172,Data!$A$2:$C$612,2,FALSE),0))))</f>
        <v/>
      </c>
      <c r="E172" s="123" t="str">
        <f>IF(Kielivalinta="","",IF(Kielivalinta="Suomi",_xlfn.IFNA(VLOOKUP($A172,Data!$A$2:$C$612,3,FALSE),0),IF(Kielivalinta="Svenska",_xlfn.IFNA(VLOOKUP($B172,Data!$A$2:$C$612,3,FALSE),0))))</f>
        <v/>
      </c>
      <c r="F172" s="119"/>
      <c r="G172" s="119"/>
      <c r="H172" s="119"/>
      <c r="I172" s="119"/>
      <c r="J172" s="119"/>
      <c r="Q172" s="119"/>
      <c r="R172" s="119"/>
      <c r="S172" s="119"/>
      <c r="T172" s="119"/>
      <c r="U172" s="119"/>
      <c r="V172" s="119"/>
      <c r="W172" s="119"/>
    </row>
    <row r="173" spans="1:23" x14ac:dyDescent="0.2">
      <c r="A173" s="119" t="s">
        <v>221</v>
      </c>
      <c r="B173" s="119" t="s">
        <v>1112</v>
      </c>
      <c r="C173" s="115"/>
      <c r="D173" s="123" t="str">
        <f>IF(Kielivalinta="","",IF(Kielivalinta="Suomi",_xlfn.IFNA(VLOOKUP($A173,Data!$A$2:$C$612,2,FALSE),0),IF(Kielivalinta="Svenska",_xlfn.IFNA(VLOOKUP($B173,Data!$A$2:$C$612,2,FALSE),0))))</f>
        <v/>
      </c>
      <c r="E173" s="123" t="str">
        <f>IF(Kielivalinta="","",IF(Kielivalinta="Suomi",_xlfn.IFNA(VLOOKUP($A173,Data!$A$2:$C$612,3,FALSE),0),IF(Kielivalinta="Svenska",_xlfn.IFNA(VLOOKUP($B173,Data!$A$2:$C$612,3,FALSE),0))))</f>
        <v/>
      </c>
      <c r="F173" s="119"/>
      <c r="G173" s="119"/>
      <c r="H173" s="119"/>
      <c r="I173" s="119"/>
      <c r="J173" s="119"/>
      <c r="Q173" s="119"/>
      <c r="R173" s="119"/>
      <c r="S173" s="119"/>
      <c r="T173" s="119"/>
      <c r="U173" s="119"/>
      <c r="V173" s="119"/>
      <c r="W173" s="119"/>
    </row>
    <row r="174" spans="1:23" x14ac:dyDescent="0.2">
      <c r="A174" s="122" t="s">
        <v>222</v>
      </c>
      <c r="B174" s="122" t="s">
        <v>763</v>
      </c>
      <c r="C174" s="115"/>
      <c r="D174" s="123" t="str">
        <f>IF(Kielivalinta="","",IF(Kielivalinta="Suomi",_xlfn.IFNA(VLOOKUP($A174,Data!$A$2:$C$612,2,FALSE),0),IF(Kielivalinta="Svenska",_xlfn.IFNA(VLOOKUP($B174,Data!$A$2:$C$612,2,FALSE),0))))</f>
        <v/>
      </c>
      <c r="E174" s="123" t="str">
        <f>IF(Kielivalinta="","",IF(Kielivalinta="Suomi",_xlfn.IFNA(VLOOKUP($A174,Data!$A$2:$C$612,3,FALSE),0),IF(Kielivalinta="Svenska",_xlfn.IFNA(VLOOKUP($B174,Data!$A$2:$C$612,3,FALSE),0))))</f>
        <v/>
      </c>
      <c r="F174" s="119"/>
      <c r="G174" s="119"/>
      <c r="H174" s="119"/>
      <c r="I174" s="119"/>
      <c r="J174" s="119"/>
      <c r="Q174" s="122"/>
      <c r="R174" s="119"/>
      <c r="S174" s="119"/>
      <c r="T174" s="119"/>
      <c r="U174" s="119"/>
      <c r="V174" s="119"/>
      <c r="W174" s="119"/>
    </row>
    <row r="175" spans="1:23" x14ac:dyDescent="0.2">
      <c r="A175" s="119" t="s">
        <v>223</v>
      </c>
      <c r="B175" s="119" t="s">
        <v>1113</v>
      </c>
      <c r="C175" s="115"/>
      <c r="D175" s="123" t="str">
        <f>IF(Kielivalinta="","",IF(Kielivalinta="Suomi",_xlfn.IFNA(VLOOKUP($A175,Data!$A$2:$C$612,2,FALSE),0),IF(Kielivalinta="Svenska",_xlfn.IFNA(VLOOKUP($B175,Data!$A$2:$C$612,2,FALSE),0))))</f>
        <v/>
      </c>
      <c r="E175" s="123" t="str">
        <f>IF(Kielivalinta="","",IF(Kielivalinta="Suomi",_xlfn.IFNA(VLOOKUP($A175,Data!$A$2:$C$612,3,FALSE),0),IF(Kielivalinta="Svenska",_xlfn.IFNA(VLOOKUP($B175,Data!$A$2:$C$612,3,FALSE),0))))</f>
        <v/>
      </c>
      <c r="F175" s="119"/>
      <c r="G175" s="119"/>
      <c r="H175" s="119"/>
      <c r="I175" s="119"/>
      <c r="J175" s="119"/>
      <c r="Q175" s="119"/>
      <c r="R175" s="119"/>
      <c r="S175" s="119"/>
      <c r="T175" s="119"/>
      <c r="U175" s="119"/>
      <c r="V175" s="119"/>
      <c r="W175" s="119"/>
    </row>
    <row r="176" spans="1:23" x14ac:dyDescent="0.2">
      <c r="A176" s="119" t="s">
        <v>224</v>
      </c>
      <c r="B176" s="119" t="s">
        <v>1114</v>
      </c>
      <c r="C176" s="115"/>
      <c r="D176" s="123" t="str">
        <f>IF(Kielivalinta="","",IF(Kielivalinta="Suomi",_xlfn.IFNA(VLOOKUP($A176,Data!$A$2:$C$612,2,FALSE),0),IF(Kielivalinta="Svenska",_xlfn.IFNA(VLOOKUP($B176,Data!$A$2:$C$612,2,FALSE),0))))</f>
        <v/>
      </c>
      <c r="E176" s="123" t="str">
        <f>IF(Kielivalinta="","",IF(Kielivalinta="Suomi",_xlfn.IFNA(VLOOKUP($A176,Data!$A$2:$C$612,3,FALSE),0),IF(Kielivalinta="Svenska",_xlfn.IFNA(VLOOKUP($B176,Data!$A$2:$C$612,3,FALSE),0))))</f>
        <v/>
      </c>
      <c r="F176" s="119"/>
      <c r="G176" s="119"/>
      <c r="H176" s="119"/>
      <c r="I176" s="119"/>
      <c r="J176" s="119"/>
      <c r="Q176" s="119"/>
      <c r="R176" s="119"/>
      <c r="S176" s="119"/>
      <c r="T176" s="119"/>
      <c r="U176" s="119"/>
      <c r="V176" s="119"/>
      <c r="W176" s="119"/>
    </row>
    <row r="177" spans="1:23" x14ac:dyDescent="0.2">
      <c r="A177" s="119" t="s">
        <v>225</v>
      </c>
      <c r="B177" s="119" t="s">
        <v>1115</v>
      </c>
      <c r="C177" s="115"/>
      <c r="D177" s="123" t="str">
        <f>IF(Kielivalinta="","",IF(Kielivalinta="Suomi",_xlfn.IFNA(VLOOKUP($A177,Data!$A$2:$C$612,2,FALSE),0),IF(Kielivalinta="Svenska",_xlfn.IFNA(VLOOKUP($B177,Data!$A$2:$C$612,2,FALSE),0))))</f>
        <v/>
      </c>
      <c r="E177" s="123" t="str">
        <f>IF(Kielivalinta="","",IF(Kielivalinta="Suomi",_xlfn.IFNA(VLOOKUP($A177,Data!$A$2:$C$612,3,FALSE),0),IF(Kielivalinta="Svenska",_xlfn.IFNA(VLOOKUP($B177,Data!$A$2:$C$612,3,FALSE),0))))</f>
        <v/>
      </c>
      <c r="F177" s="119"/>
      <c r="G177" s="119"/>
      <c r="H177" s="119"/>
      <c r="I177" s="119"/>
      <c r="J177" s="119"/>
      <c r="Q177" s="119"/>
      <c r="R177" s="119"/>
      <c r="S177" s="119"/>
      <c r="T177" s="119"/>
      <c r="U177" s="119"/>
      <c r="V177" s="119"/>
      <c r="W177" s="119"/>
    </row>
    <row r="178" spans="1:23" x14ac:dyDescent="0.2">
      <c r="A178" s="119" t="s">
        <v>226</v>
      </c>
      <c r="B178" s="119" t="s">
        <v>1116</v>
      </c>
      <c r="C178" s="115"/>
      <c r="D178" s="123" t="str">
        <f>IF(Kielivalinta="","",IF(Kielivalinta="Suomi",_xlfn.IFNA(VLOOKUP($A178,Data!$A$2:$C$612,2,FALSE),0),IF(Kielivalinta="Svenska",_xlfn.IFNA(VLOOKUP($B178,Data!$A$2:$C$612,2,FALSE),0))))</f>
        <v/>
      </c>
      <c r="E178" s="123" t="str">
        <f>IF(Kielivalinta="","",IF(Kielivalinta="Suomi",_xlfn.IFNA(VLOOKUP($A178,Data!$A$2:$C$612,3,FALSE),0),IF(Kielivalinta="Svenska",_xlfn.IFNA(VLOOKUP($B178,Data!$A$2:$C$612,3,FALSE),0))))</f>
        <v/>
      </c>
      <c r="F178" s="119"/>
      <c r="G178" s="119"/>
      <c r="H178" s="119"/>
      <c r="I178" s="119"/>
      <c r="J178" s="119"/>
      <c r="Q178" s="119"/>
      <c r="R178" s="119"/>
      <c r="S178" s="119"/>
      <c r="T178" s="119"/>
      <c r="U178" s="119"/>
      <c r="V178" s="119"/>
      <c r="W178" s="119"/>
    </row>
    <row r="179" spans="1:23" x14ac:dyDescent="0.2">
      <c r="A179" s="119" t="s">
        <v>227</v>
      </c>
      <c r="B179" s="119" t="s">
        <v>1117</v>
      </c>
      <c r="C179" s="115"/>
      <c r="D179" s="123" t="str">
        <f>IF(Kielivalinta="","",IF(Kielivalinta="Suomi",_xlfn.IFNA(VLOOKUP($A179,Data!$A$2:$C$612,2,FALSE),0),IF(Kielivalinta="Svenska",_xlfn.IFNA(VLOOKUP($B179,Data!$A$2:$C$612,2,FALSE),0))))</f>
        <v/>
      </c>
      <c r="E179" s="123" t="str">
        <f>IF(Kielivalinta="","",IF(Kielivalinta="Suomi",_xlfn.IFNA(VLOOKUP($A179,Data!$A$2:$C$612,3,FALSE),0),IF(Kielivalinta="Svenska",_xlfn.IFNA(VLOOKUP($B179,Data!$A$2:$C$612,3,FALSE),0))))</f>
        <v/>
      </c>
      <c r="F179" s="119"/>
      <c r="G179" s="119"/>
      <c r="H179" s="119"/>
      <c r="I179" s="119"/>
      <c r="J179" s="119"/>
      <c r="Q179" s="119"/>
      <c r="R179" s="119"/>
      <c r="S179" s="119"/>
      <c r="T179" s="119"/>
      <c r="U179" s="119"/>
      <c r="V179" s="119"/>
      <c r="W179" s="119"/>
    </row>
    <row r="180" spans="1:23" x14ac:dyDescent="0.2">
      <c r="A180" s="122" t="s">
        <v>228</v>
      </c>
      <c r="B180" s="122" t="s">
        <v>764</v>
      </c>
      <c r="C180" s="115"/>
      <c r="D180" s="123" t="str">
        <f>IF(Kielivalinta="","",IF(Kielivalinta="Suomi",_xlfn.IFNA(VLOOKUP($A180,Data!$A$2:$C$612,2,FALSE),0),IF(Kielivalinta="Svenska",_xlfn.IFNA(VLOOKUP($B180,Data!$A$2:$C$612,2,FALSE),0))))</f>
        <v/>
      </c>
      <c r="E180" s="123" t="str">
        <f>IF(Kielivalinta="","",IF(Kielivalinta="Suomi",_xlfn.IFNA(VLOOKUP($A180,Data!$A$2:$C$612,3,FALSE),0),IF(Kielivalinta="Svenska",_xlfn.IFNA(VLOOKUP($B180,Data!$A$2:$C$612,3,FALSE),0))))</f>
        <v/>
      </c>
      <c r="F180" s="119"/>
      <c r="G180" s="119"/>
      <c r="H180" s="119"/>
      <c r="I180" s="119"/>
      <c r="J180" s="119"/>
      <c r="Q180" s="122"/>
      <c r="R180" s="119"/>
      <c r="S180" s="119"/>
      <c r="T180" s="119"/>
      <c r="U180" s="119"/>
      <c r="V180" s="119"/>
      <c r="W180" s="119"/>
    </row>
    <row r="181" spans="1:23" x14ac:dyDescent="0.2">
      <c r="A181" s="122" t="s">
        <v>229</v>
      </c>
      <c r="B181" s="122" t="s">
        <v>765</v>
      </c>
      <c r="C181" s="115"/>
      <c r="D181" s="123" t="str">
        <f>IF(Kielivalinta="","",IF(Kielivalinta="Suomi",_xlfn.IFNA(VLOOKUP($A181,Data!$A$2:$C$612,2,FALSE),0),IF(Kielivalinta="Svenska",_xlfn.IFNA(VLOOKUP($B181,Data!$A$2:$C$612,2,FALSE),0))))</f>
        <v/>
      </c>
      <c r="E181" s="123" t="str">
        <f>IF(Kielivalinta="","",IF(Kielivalinta="Suomi",_xlfn.IFNA(VLOOKUP($A181,Data!$A$2:$C$612,3,FALSE),0),IF(Kielivalinta="Svenska",_xlfn.IFNA(VLOOKUP($B181,Data!$A$2:$C$612,3,FALSE),0))))</f>
        <v/>
      </c>
      <c r="F181" s="119"/>
      <c r="G181" s="119"/>
      <c r="H181" s="119"/>
      <c r="I181" s="119"/>
      <c r="J181" s="119"/>
      <c r="Q181" s="122"/>
      <c r="R181" s="119"/>
      <c r="S181" s="119"/>
      <c r="T181" s="119"/>
      <c r="U181" s="119"/>
      <c r="V181" s="119"/>
      <c r="W181" s="119"/>
    </row>
    <row r="182" spans="1:23" x14ac:dyDescent="0.2">
      <c r="A182" s="122" t="s">
        <v>230</v>
      </c>
      <c r="B182" s="122" t="s">
        <v>766</v>
      </c>
      <c r="C182" s="115"/>
      <c r="D182" s="123" t="str">
        <f>IF(Kielivalinta="","",IF(Kielivalinta="Suomi",_xlfn.IFNA(VLOOKUP($A182,Data!$A$2:$C$612,2,FALSE),0),IF(Kielivalinta="Svenska",_xlfn.IFNA(VLOOKUP($B182,Data!$A$2:$C$612,2,FALSE),0))))</f>
        <v/>
      </c>
      <c r="E182" s="123" t="str">
        <f>IF(Kielivalinta="","",IF(Kielivalinta="Suomi",_xlfn.IFNA(VLOOKUP($A182,Data!$A$2:$C$612,3,FALSE),0),IF(Kielivalinta="Svenska",_xlfn.IFNA(VLOOKUP($B182,Data!$A$2:$C$612,3,FALSE),0))))</f>
        <v/>
      </c>
      <c r="F182" s="119"/>
      <c r="G182" s="119"/>
      <c r="H182" s="119"/>
      <c r="I182" s="119"/>
      <c r="J182" s="119"/>
      <c r="Q182" s="122"/>
      <c r="R182" s="119"/>
      <c r="S182" s="119"/>
      <c r="T182" s="119"/>
      <c r="U182" s="119"/>
      <c r="V182" s="119"/>
      <c r="W182" s="119"/>
    </row>
    <row r="183" spans="1:23" x14ac:dyDescent="0.2">
      <c r="A183" s="122" t="s">
        <v>231</v>
      </c>
      <c r="B183" s="122" t="s">
        <v>767</v>
      </c>
      <c r="C183" s="115"/>
      <c r="D183" s="123" t="str">
        <f>IF(Kielivalinta="","",IF(Kielivalinta="Suomi",_xlfn.IFNA(VLOOKUP($A183,Data!$A$2:$C$612,2,FALSE),0),IF(Kielivalinta="Svenska",_xlfn.IFNA(VLOOKUP($B183,Data!$A$2:$C$612,2,FALSE),0))))</f>
        <v/>
      </c>
      <c r="E183" s="123" t="str">
        <f>IF(Kielivalinta="","",IF(Kielivalinta="Suomi",_xlfn.IFNA(VLOOKUP($A183,Data!$A$2:$C$612,3,FALSE),0),IF(Kielivalinta="Svenska",_xlfn.IFNA(VLOOKUP($B183,Data!$A$2:$C$612,3,FALSE),0))))</f>
        <v/>
      </c>
      <c r="F183" s="119"/>
      <c r="G183" s="119"/>
      <c r="H183" s="119"/>
      <c r="I183" s="119"/>
      <c r="J183" s="119"/>
      <c r="Q183" s="122"/>
      <c r="R183" s="119"/>
      <c r="S183" s="119"/>
      <c r="T183" s="119"/>
      <c r="U183" s="119"/>
      <c r="V183" s="119"/>
      <c r="W183" s="119"/>
    </row>
    <row r="184" spans="1:23" x14ac:dyDescent="0.2">
      <c r="A184" s="122" t="s">
        <v>232</v>
      </c>
      <c r="B184" s="122" t="s">
        <v>768</v>
      </c>
      <c r="C184" s="115"/>
      <c r="D184" s="123" t="str">
        <f>IF(Kielivalinta="","",IF(Kielivalinta="Suomi",_xlfn.IFNA(VLOOKUP($A184,Data!$A$2:$C$612,2,FALSE),0),IF(Kielivalinta="Svenska",_xlfn.IFNA(VLOOKUP($B184,Data!$A$2:$C$612,2,FALSE),0))))</f>
        <v/>
      </c>
      <c r="E184" s="123" t="str">
        <f>IF(Kielivalinta="","",IF(Kielivalinta="Suomi",_xlfn.IFNA(VLOOKUP($A184,Data!$A$2:$C$612,3,FALSE),0),IF(Kielivalinta="Svenska",_xlfn.IFNA(VLOOKUP($B184,Data!$A$2:$C$612,3,FALSE),0))))</f>
        <v/>
      </c>
      <c r="F184" s="119"/>
      <c r="G184" s="119"/>
      <c r="H184" s="119"/>
      <c r="I184" s="119"/>
      <c r="J184" s="119"/>
      <c r="Q184" s="122"/>
      <c r="R184" s="119"/>
      <c r="S184" s="119"/>
      <c r="T184" s="119"/>
      <c r="U184" s="119"/>
      <c r="V184" s="119"/>
      <c r="W184" s="119"/>
    </row>
    <row r="185" spans="1:23" x14ac:dyDescent="0.2">
      <c r="A185" s="119" t="s">
        <v>233</v>
      </c>
      <c r="B185" s="119" t="s">
        <v>1118</v>
      </c>
      <c r="C185" s="115"/>
      <c r="D185" s="123" t="str">
        <f>IF(Kielivalinta="","",IF(Kielivalinta="Suomi",_xlfn.IFNA(VLOOKUP($A185,Data!$A$2:$C$612,2,FALSE),0),IF(Kielivalinta="Svenska",_xlfn.IFNA(VLOOKUP($B185,Data!$A$2:$C$612,2,FALSE),0))))</f>
        <v/>
      </c>
      <c r="E185" s="123" t="str">
        <f>IF(Kielivalinta="","",IF(Kielivalinta="Suomi",_xlfn.IFNA(VLOOKUP($A185,Data!$A$2:$C$612,3,FALSE),0),IF(Kielivalinta="Svenska",_xlfn.IFNA(VLOOKUP($B185,Data!$A$2:$C$612,3,FALSE),0))))</f>
        <v/>
      </c>
      <c r="F185" s="119"/>
      <c r="G185" s="119"/>
      <c r="H185" s="119"/>
      <c r="I185" s="119"/>
      <c r="J185" s="119"/>
      <c r="Q185" s="119"/>
      <c r="R185" s="119"/>
      <c r="S185" s="119"/>
      <c r="T185" s="119"/>
      <c r="U185" s="119"/>
      <c r="V185" s="119"/>
      <c r="W185" s="119"/>
    </row>
    <row r="186" spans="1:23" x14ac:dyDescent="0.2">
      <c r="A186" s="122" t="s">
        <v>234</v>
      </c>
      <c r="B186" s="122" t="s">
        <v>769</v>
      </c>
      <c r="C186" s="115"/>
      <c r="D186" s="123" t="str">
        <f>IF(Kielivalinta="","",IF(Kielivalinta="Suomi",_xlfn.IFNA(VLOOKUP($A186,Data!$A$2:$C$612,2,FALSE),0),IF(Kielivalinta="Svenska",_xlfn.IFNA(VLOOKUP($B186,Data!$A$2:$C$612,2,FALSE),0))))</f>
        <v/>
      </c>
      <c r="E186" s="123" t="str">
        <f>IF(Kielivalinta="","",IF(Kielivalinta="Suomi",_xlfn.IFNA(VLOOKUP($A186,Data!$A$2:$C$612,3,FALSE),0),IF(Kielivalinta="Svenska",_xlfn.IFNA(VLOOKUP($B186,Data!$A$2:$C$612,3,FALSE),0))))</f>
        <v/>
      </c>
      <c r="F186" s="119"/>
      <c r="G186" s="119"/>
      <c r="H186" s="119"/>
      <c r="I186" s="119"/>
      <c r="J186" s="119"/>
      <c r="Q186" s="122"/>
      <c r="R186" s="119"/>
      <c r="S186" s="119"/>
      <c r="T186" s="119"/>
      <c r="U186" s="119"/>
      <c r="V186" s="119"/>
      <c r="W186" s="119"/>
    </row>
    <row r="187" spans="1:23" x14ac:dyDescent="0.2">
      <c r="A187" s="119" t="s">
        <v>235</v>
      </c>
      <c r="B187" s="119" t="s">
        <v>1119</v>
      </c>
      <c r="C187" s="115"/>
      <c r="D187" s="123" t="str">
        <f>IF(Kielivalinta="","",IF(Kielivalinta="Suomi",_xlfn.IFNA(VLOOKUP($A187,Data!$A$2:$C$612,2,FALSE),0),IF(Kielivalinta="Svenska",_xlfn.IFNA(VLOOKUP($B187,Data!$A$2:$C$612,2,FALSE),0))))</f>
        <v/>
      </c>
      <c r="E187" s="123" t="str">
        <f>IF(Kielivalinta="","",IF(Kielivalinta="Suomi",_xlfn.IFNA(VLOOKUP($A187,Data!$A$2:$C$612,3,FALSE),0),IF(Kielivalinta="Svenska",_xlfn.IFNA(VLOOKUP($B187,Data!$A$2:$C$612,3,FALSE),0))))</f>
        <v/>
      </c>
      <c r="F187" s="119"/>
      <c r="G187" s="119"/>
      <c r="H187" s="119"/>
      <c r="I187" s="119"/>
      <c r="J187" s="119"/>
      <c r="Q187" s="119"/>
      <c r="R187" s="119"/>
      <c r="S187" s="119"/>
      <c r="T187" s="119"/>
      <c r="U187" s="119"/>
      <c r="V187" s="119"/>
      <c r="W187" s="119"/>
    </row>
    <row r="188" spans="1:23" x14ac:dyDescent="0.2">
      <c r="A188" s="119" t="s">
        <v>236</v>
      </c>
      <c r="B188" s="119" t="s">
        <v>1120</v>
      </c>
      <c r="C188" s="115"/>
      <c r="D188" s="123" t="str">
        <f>IF(Kielivalinta="","",IF(Kielivalinta="Suomi",_xlfn.IFNA(VLOOKUP($A188,Data!$A$2:$C$612,2,FALSE),0),IF(Kielivalinta="Svenska",_xlfn.IFNA(VLOOKUP($B188,Data!$A$2:$C$612,2,FALSE),0))))</f>
        <v/>
      </c>
      <c r="E188" s="123" t="str">
        <f>IF(Kielivalinta="","",IF(Kielivalinta="Suomi",_xlfn.IFNA(VLOOKUP($A188,Data!$A$2:$C$612,3,FALSE),0),IF(Kielivalinta="Svenska",_xlfn.IFNA(VLOOKUP($B188,Data!$A$2:$C$612,3,FALSE),0))))</f>
        <v/>
      </c>
      <c r="F188" s="119"/>
      <c r="G188" s="119"/>
      <c r="H188" s="119"/>
      <c r="I188" s="119"/>
      <c r="J188" s="119"/>
      <c r="Q188" s="119"/>
      <c r="R188" s="119"/>
      <c r="S188" s="119"/>
      <c r="T188" s="119"/>
      <c r="U188" s="119"/>
      <c r="V188" s="119"/>
      <c r="W188" s="119"/>
    </row>
    <row r="189" spans="1:23" x14ac:dyDescent="0.2">
      <c r="A189" s="122" t="s">
        <v>237</v>
      </c>
      <c r="B189" s="122" t="s">
        <v>770</v>
      </c>
      <c r="C189" s="115"/>
      <c r="D189" s="123" t="str">
        <f>IF(Kielivalinta="","",IF(Kielivalinta="Suomi",_xlfn.IFNA(VLOOKUP($A189,Data!$A$2:$C$612,2,FALSE),0),IF(Kielivalinta="Svenska",_xlfn.IFNA(VLOOKUP($B189,Data!$A$2:$C$612,2,FALSE),0))))</f>
        <v/>
      </c>
      <c r="E189" s="123" t="str">
        <f>IF(Kielivalinta="","",IF(Kielivalinta="Suomi",_xlfn.IFNA(VLOOKUP($A189,Data!$A$2:$C$612,3,FALSE),0),IF(Kielivalinta="Svenska",_xlfn.IFNA(VLOOKUP($B189,Data!$A$2:$C$612,3,FALSE),0))))</f>
        <v/>
      </c>
      <c r="F189" s="119"/>
      <c r="G189" s="131" t="b">
        <f>IF(Kielivalinta="Suomi","Kirjojen kartunta",IF(Kielivalinta="Svenska","Förvärv av böcker"))</f>
        <v>0</v>
      </c>
      <c r="H189" s="119"/>
      <c r="I189" s="119"/>
      <c r="J189" s="119"/>
      <c r="Q189" s="122"/>
      <c r="R189" s="119"/>
      <c r="S189" s="119"/>
      <c r="T189" s="119"/>
      <c r="U189" s="119"/>
      <c r="V189" s="119"/>
      <c r="W189" s="119"/>
    </row>
    <row r="190" spans="1:23" x14ac:dyDescent="0.2">
      <c r="A190" s="122" t="s">
        <v>238</v>
      </c>
      <c r="B190" s="122" t="s">
        <v>771</v>
      </c>
      <c r="C190" s="115"/>
      <c r="D190" s="123" t="str">
        <f>IF(Kielivalinta="","",IF(Kielivalinta="Suomi",_xlfn.IFNA(VLOOKUP($A190,Data!$A$2:$C$612,2,FALSE),0),IF(Kielivalinta="Svenska",_xlfn.IFNA(VLOOKUP($B190,Data!$A$2:$C$612,2,FALSE),0))))</f>
        <v/>
      </c>
      <c r="E190" s="123" t="str">
        <f>IF(Kielivalinta="","",IF(Kielivalinta="Suomi",_xlfn.IFNA(VLOOKUP($A190,Data!$A$2:$C$612,3,FALSE),0),IF(Kielivalinta="Svenska",_xlfn.IFNA(VLOOKUP($B190,Data!$A$2:$C$612,3,FALSE),0))))</f>
        <v/>
      </c>
      <c r="F190" s="119"/>
      <c r="G190" s="118" t="str">
        <f>RIGHT(Data!$B$3,4)</f>
        <v/>
      </c>
      <c r="H190" s="118" t="str">
        <f>RIGHT(Data!$C$3,4)</f>
        <v/>
      </c>
      <c r="I190" s="119"/>
      <c r="J190" s="119"/>
      <c r="Q190" s="122"/>
      <c r="R190" s="119"/>
      <c r="S190" s="119"/>
      <c r="T190" s="119"/>
      <c r="U190" s="119"/>
      <c r="V190" s="119"/>
      <c r="W190" s="119"/>
    </row>
    <row r="191" spans="1:23" x14ac:dyDescent="0.2">
      <c r="A191" s="122" t="s">
        <v>239</v>
      </c>
      <c r="B191" s="122" t="s">
        <v>772</v>
      </c>
      <c r="C191" s="115"/>
      <c r="D191" s="123" t="str">
        <f>IF(Kielivalinta="","",IF(Kielivalinta="Suomi",_xlfn.IFNA(VLOOKUP($A191,Data!$A$2:$C$612,2,FALSE),0),IF(Kielivalinta="Svenska",_xlfn.IFNA(VLOOKUP($B191,Data!$A$2:$C$612,2,FALSE),0))))</f>
        <v/>
      </c>
      <c r="E191" s="123" t="str">
        <f>IF(Kielivalinta="","",IF(Kielivalinta="Suomi",_xlfn.IFNA(VLOOKUP($A191,Data!$A$2:$C$612,3,FALSE),0),IF(Kielivalinta="Svenska",_xlfn.IFNA(VLOOKUP($B191,Data!$A$2:$C$612,3,FALSE),0))))</f>
        <v/>
      </c>
      <c r="F191" s="131" t="b">
        <f>IF(Kielivalinta="Suomi","Painetut, nidettä",IF(Kielivalinta="Svenska","Tryckta, enheter"))</f>
        <v>0</v>
      </c>
      <c r="G191" s="123" t="str">
        <f>D193</f>
        <v/>
      </c>
      <c r="H191" s="123" t="str">
        <f>E193</f>
        <v/>
      </c>
      <c r="I191" s="119"/>
      <c r="J191" s="119"/>
      <c r="Q191" s="122"/>
      <c r="R191" s="119"/>
      <c r="S191" s="119"/>
      <c r="T191" s="119"/>
      <c r="U191" s="119"/>
      <c r="V191" s="119"/>
      <c r="W191" s="119"/>
    </row>
    <row r="192" spans="1:23" x14ac:dyDescent="0.2">
      <c r="A192" s="122" t="s">
        <v>240</v>
      </c>
      <c r="B192" s="122" t="s">
        <v>773</v>
      </c>
      <c r="C192" s="115"/>
      <c r="D192" s="123" t="str">
        <f>IF(Kielivalinta="","",IF(Kielivalinta="Suomi",_xlfn.IFNA(VLOOKUP($A192,Data!$A$2:$C$612,2,FALSE),0),IF(Kielivalinta="Svenska",_xlfn.IFNA(VLOOKUP($B192,Data!$A$2:$C$612,2,FALSE),0))))</f>
        <v/>
      </c>
      <c r="E192" s="123" t="str">
        <f>IF(Kielivalinta="","",IF(Kielivalinta="Suomi",_xlfn.IFNA(VLOOKUP($A192,Data!$A$2:$C$612,3,FALSE),0),IF(Kielivalinta="Svenska",_xlfn.IFNA(VLOOKUP($B192,Data!$A$2:$C$612,3,FALSE),0))))</f>
        <v/>
      </c>
      <c r="F192" s="131" t="b">
        <f>IF(Kielivalinta="Suomi","Painetut, nimekettä",IF(Kielivalinta="Svenska","Tryckta, titlar"))</f>
        <v>0</v>
      </c>
      <c r="G192" s="123" t="str">
        <f>D245</f>
        <v/>
      </c>
      <c r="H192" s="123" t="str">
        <f>E245</f>
        <v/>
      </c>
      <c r="I192" s="119"/>
      <c r="J192" s="119"/>
      <c r="Q192" s="122"/>
      <c r="R192" s="119"/>
      <c r="S192" s="119"/>
      <c r="T192" s="119"/>
      <c r="U192" s="119"/>
      <c r="V192" s="119"/>
      <c r="W192" s="119"/>
    </row>
    <row r="193" spans="1:23" x14ac:dyDescent="0.2">
      <c r="A193" s="119" t="s">
        <v>241</v>
      </c>
      <c r="B193" s="119" t="s">
        <v>1121</v>
      </c>
      <c r="C193" s="115"/>
      <c r="D193" s="123" t="str">
        <f>IF(Kielivalinta="","",IF(Kielivalinta="Suomi",_xlfn.IFNA(VLOOKUP($A193,Data!$A$2:$C$612,2,FALSE),0),IF(Kielivalinta="Svenska",_xlfn.IFNA(VLOOKUP($B193,Data!$A$2:$C$612,2,FALSE),0))))</f>
        <v/>
      </c>
      <c r="E193" s="123" t="str">
        <f>IF(Kielivalinta="","",IF(Kielivalinta="Suomi",_xlfn.IFNA(VLOOKUP($A193,Data!$A$2:$C$612,3,FALSE),0),IF(Kielivalinta="Svenska",_xlfn.IFNA(VLOOKUP($B193,Data!$A$2:$C$612,3,FALSE),0))))</f>
        <v/>
      </c>
      <c r="F193" s="131" t="b">
        <f>IF(Kielivalinta="Suomi","Elektroniset, nimekettä",IF(Kielivalinta="Svenska","Elektroniska, titlar"))</f>
        <v>0</v>
      </c>
      <c r="G193" s="123" t="str">
        <f>IFERROR(D247+D248,"")</f>
        <v/>
      </c>
      <c r="H193" s="123" t="str">
        <f>IFERROR(E247+E248,"")</f>
        <v/>
      </c>
      <c r="I193" s="119"/>
      <c r="J193" s="119"/>
      <c r="Q193" s="119"/>
      <c r="R193" s="119"/>
      <c r="S193" s="119"/>
      <c r="T193" s="119"/>
      <c r="U193" s="119"/>
      <c r="V193" s="119"/>
      <c r="W193" s="119"/>
    </row>
    <row r="194" spans="1:23" x14ac:dyDescent="0.2">
      <c r="A194" s="119" t="s">
        <v>242</v>
      </c>
      <c r="B194" s="119" t="s">
        <v>1122</v>
      </c>
      <c r="C194" s="115"/>
      <c r="D194" s="123" t="str">
        <f>IF(Kielivalinta="","",IF(Kielivalinta="Suomi",_xlfn.IFNA(VLOOKUP($A194,Data!$A$2:$C$612,2,FALSE),0),IF(Kielivalinta="Svenska",_xlfn.IFNA(VLOOKUP($B194,Data!$A$2:$C$612,2,FALSE),0))))</f>
        <v/>
      </c>
      <c r="E194" s="123" t="str">
        <f>IF(Kielivalinta="","",IF(Kielivalinta="Suomi",_xlfn.IFNA(VLOOKUP($A194,Data!$A$2:$C$612,3,FALSE),0),IF(Kielivalinta="Svenska",_xlfn.IFNA(VLOOKUP($B194,Data!$A$2:$C$612,3,FALSE),0))))</f>
        <v/>
      </c>
      <c r="F194" s="119"/>
      <c r="G194" s="119"/>
      <c r="H194" s="119"/>
      <c r="I194" s="119"/>
      <c r="J194" s="119"/>
      <c r="Q194" s="119"/>
      <c r="R194" s="119"/>
      <c r="S194" s="119"/>
      <c r="T194" s="119"/>
      <c r="U194" s="119"/>
      <c r="V194" s="119"/>
      <c r="W194" s="119"/>
    </row>
    <row r="195" spans="1:23" x14ac:dyDescent="0.2">
      <c r="A195" s="122" t="s">
        <v>243</v>
      </c>
      <c r="B195" s="122" t="s">
        <v>774</v>
      </c>
      <c r="C195" s="115"/>
      <c r="D195" s="123" t="str">
        <f>IF(Kielivalinta="","",IF(Kielivalinta="Suomi",_xlfn.IFNA(VLOOKUP($A195,Data!$A$2:$C$612,2,FALSE),0),IF(Kielivalinta="Svenska",_xlfn.IFNA(VLOOKUP($B195,Data!$A$2:$C$612,2,FALSE),0))))</f>
        <v/>
      </c>
      <c r="E195" s="123" t="str">
        <f>IF(Kielivalinta="","",IF(Kielivalinta="Suomi",_xlfn.IFNA(VLOOKUP($A195,Data!$A$2:$C$612,3,FALSE),0),IF(Kielivalinta="Svenska",_xlfn.IFNA(VLOOKUP($B195,Data!$A$2:$C$612,3,FALSE),0))))</f>
        <v/>
      </c>
      <c r="F195" s="119"/>
      <c r="G195" s="119"/>
      <c r="H195" s="119"/>
      <c r="I195" s="119"/>
      <c r="J195" s="119"/>
      <c r="Q195" s="122"/>
      <c r="R195" s="119"/>
      <c r="S195" s="119"/>
      <c r="T195" s="119"/>
      <c r="U195" s="119"/>
      <c r="V195" s="119"/>
      <c r="W195" s="119"/>
    </row>
    <row r="196" spans="1:23" x14ac:dyDescent="0.2">
      <c r="A196" s="122" t="s">
        <v>244</v>
      </c>
      <c r="B196" s="122" t="s">
        <v>775</v>
      </c>
      <c r="C196" s="115"/>
      <c r="D196" s="123" t="str">
        <f>IF(Kielivalinta="","",IF(Kielivalinta="Suomi",_xlfn.IFNA(VLOOKUP($A196,Data!$A$2:$C$612,2,FALSE),0),IF(Kielivalinta="Svenska",_xlfn.IFNA(VLOOKUP($B196,Data!$A$2:$C$612,2,FALSE),0))))</f>
        <v/>
      </c>
      <c r="E196" s="123" t="str">
        <f>IF(Kielivalinta="","",IF(Kielivalinta="Suomi",_xlfn.IFNA(VLOOKUP($A196,Data!$A$2:$C$612,3,FALSE),0),IF(Kielivalinta="Svenska",_xlfn.IFNA(VLOOKUP($B196,Data!$A$2:$C$612,3,FALSE),0))))</f>
        <v/>
      </c>
      <c r="F196" s="119"/>
      <c r="G196" s="119"/>
      <c r="H196" s="119"/>
      <c r="I196" s="119"/>
      <c r="J196" s="119"/>
      <c r="Q196" s="122"/>
      <c r="R196" s="119"/>
      <c r="S196" s="119"/>
      <c r="T196" s="119"/>
      <c r="U196" s="119"/>
      <c r="V196" s="119"/>
      <c r="W196" s="119"/>
    </row>
    <row r="197" spans="1:23" x14ac:dyDescent="0.2">
      <c r="A197" s="122" t="s">
        <v>245</v>
      </c>
      <c r="B197" s="122" t="s">
        <v>776</v>
      </c>
      <c r="C197" s="115"/>
      <c r="D197" s="123" t="str">
        <f>IF(Kielivalinta="","",IF(Kielivalinta="Suomi",_xlfn.IFNA(VLOOKUP($A197,Data!$A$2:$C$612,2,FALSE),0),IF(Kielivalinta="Svenska",_xlfn.IFNA(VLOOKUP($B197,Data!$A$2:$C$612,2,FALSE),0))))</f>
        <v/>
      </c>
      <c r="E197" s="123" t="str">
        <f>IF(Kielivalinta="","",IF(Kielivalinta="Suomi",_xlfn.IFNA(VLOOKUP($A197,Data!$A$2:$C$612,3,FALSE),0),IF(Kielivalinta="Svenska",_xlfn.IFNA(VLOOKUP($B197,Data!$A$2:$C$612,3,FALSE),0))))</f>
        <v/>
      </c>
      <c r="F197" s="119"/>
      <c r="G197" s="119"/>
      <c r="H197" s="119"/>
      <c r="I197" s="119"/>
      <c r="J197" s="119"/>
      <c r="Q197" s="122"/>
      <c r="R197" s="119"/>
      <c r="S197" s="119"/>
      <c r="T197" s="119"/>
      <c r="U197" s="119"/>
      <c r="V197" s="119"/>
      <c r="W197" s="119"/>
    </row>
    <row r="198" spans="1:23" x14ac:dyDescent="0.2">
      <c r="A198" s="119" t="s">
        <v>246</v>
      </c>
      <c r="B198" s="119" t="s">
        <v>1123</v>
      </c>
      <c r="C198" s="115"/>
      <c r="D198" s="123" t="str">
        <f>IF(Kielivalinta="","",IF(Kielivalinta="Suomi",_xlfn.IFNA(VLOOKUP($A198,Data!$A$2:$C$612,2,FALSE),0),IF(Kielivalinta="Svenska",_xlfn.IFNA(VLOOKUP($B198,Data!$A$2:$C$612,2,FALSE),0))))</f>
        <v/>
      </c>
      <c r="E198" s="123" t="str">
        <f>IF(Kielivalinta="","",IF(Kielivalinta="Suomi",_xlfn.IFNA(VLOOKUP($A198,Data!$A$2:$C$612,3,FALSE),0),IF(Kielivalinta="Svenska",_xlfn.IFNA(VLOOKUP($B198,Data!$A$2:$C$612,3,FALSE),0))))</f>
        <v/>
      </c>
      <c r="F198" s="119"/>
      <c r="G198" s="119"/>
      <c r="H198" s="119"/>
      <c r="I198" s="119"/>
      <c r="J198" s="119"/>
      <c r="Q198" s="119"/>
      <c r="R198" s="119"/>
      <c r="S198" s="119"/>
      <c r="T198" s="119"/>
      <c r="U198" s="119"/>
      <c r="V198" s="119"/>
      <c r="W198" s="119"/>
    </row>
    <row r="199" spans="1:23" x14ac:dyDescent="0.2">
      <c r="A199" s="122" t="s">
        <v>247</v>
      </c>
      <c r="B199" s="122" t="s">
        <v>777</v>
      </c>
      <c r="C199" s="115"/>
      <c r="D199" s="123" t="str">
        <f>IF(Kielivalinta="","",IF(Kielivalinta="Suomi",_xlfn.IFNA(VLOOKUP($A199,Data!$A$2:$C$612,2,FALSE),0),IF(Kielivalinta="Svenska",_xlfn.IFNA(VLOOKUP($B199,Data!$A$2:$C$612,2,FALSE),0))))</f>
        <v/>
      </c>
      <c r="E199" s="123" t="str">
        <f>IF(Kielivalinta="","",IF(Kielivalinta="Suomi",_xlfn.IFNA(VLOOKUP($A199,Data!$A$2:$C$612,3,FALSE),0),IF(Kielivalinta="Svenska",_xlfn.IFNA(VLOOKUP($B199,Data!$A$2:$C$612,3,FALSE),0))))</f>
        <v/>
      </c>
      <c r="F199" s="119"/>
      <c r="G199" s="119"/>
      <c r="H199" s="119"/>
      <c r="I199" s="119"/>
      <c r="J199" s="119"/>
      <c r="Q199" s="122"/>
      <c r="R199" s="119"/>
      <c r="S199" s="119"/>
      <c r="T199" s="119"/>
      <c r="U199" s="119"/>
      <c r="V199" s="119"/>
      <c r="W199" s="119"/>
    </row>
    <row r="200" spans="1:23" x14ac:dyDescent="0.2">
      <c r="A200" s="122" t="s">
        <v>248</v>
      </c>
      <c r="B200" s="122" t="s">
        <v>778</v>
      </c>
      <c r="C200" s="115"/>
      <c r="D200" s="123" t="str">
        <f>IF(Kielivalinta="","",IF(Kielivalinta="Suomi",_xlfn.IFNA(VLOOKUP($A200,Data!$A$2:$C$612,2,FALSE),0),IF(Kielivalinta="Svenska",_xlfn.IFNA(VLOOKUP($B200,Data!$A$2:$C$612,2,FALSE),0))))</f>
        <v/>
      </c>
      <c r="E200" s="123" t="str">
        <f>IF(Kielivalinta="","",IF(Kielivalinta="Suomi",_xlfn.IFNA(VLOOKUP($A200,Data!$A$2:$C$612,3,FALSE),0),IF(Kielivalinta="Svenska",_xlfn.IFNA(VLOOKUP($B200,Data!$A$2:$C$612,3,FALSE),0))))</f>
        <v/>
      </c>
      <c r="F200" s="119"/>
      <c r="G200" s="119"/>
      <c r="H200" s="119"/>
      <c r="I200" s="119"/>
      <c r="J200" s="119"/>
      <c r="Q200" s="122"/>
      <c r="R200" s="119"/>
      <c r="S200" s="119"/>
      <c r="T200" s="119"/>
      <c r="U200" s="119"/>
      <c r="V200" s="119"/>
      <c r="W200" s="119"/>
    </row>
    <row r="201" spans="1:23" x14ac:dyDescent="0.2">
      <c r="A201" s="119" t="s">
        <v>249</v>
      </c>
      <c r="B201" s="119" t="s">
        <v>1124</v>
      </c>
      <c r="C201" s="115"/>
      <c r="D201" s="123" t="str">
        <f>IF(Kielivalinta="","",IF(Kielivalinta="Suomi",_xlfn.IFNA(VLOOKUP($A201,Data!$A$2:$C$612,2,FALSE),0),IF(Kielivalinta="Svenska",_xlfn.IFNA(VLOOKUP($B201,Data!$A$2:$C$612,2,FALSE),0))))</f>
        <v/>
      </c>
      <c r="E201" s="123" t="str">
        <f>IF(Kielivalinta="","",IF(Kielivalinta="Suomi",_xlfn.IFNA(VLOOKUP($A201,Data!$A$2:$C$612,3,FALSE),0),IF(Kielivalinta="Svenska",_xlfn.IFNA(VLOOKUP($B201,Data!$A$2:$C$612,3,FALSE),0))))</f>
        <v/>
      </c>
      <c r="F201" s="119"/>
      <c r="G201" s="119"/>
      <c r="H201" s="119"/>
      <c r="I201" s="119"/>
      <c r="J201" s="119"/>
      <c r="Q201" s="119"/>
      <c r="R201" s="119"/>
      <c r="S201" s="119"/>
      <c r="T201" s="119"/>
      <c r="U201" s="119"/>
      <c r="V201" s="119"/>
      <c r="W201" s="119"/>
    </row>
    <row r="202" spans="1:23" x14ac:dyDescent="0.2">
      <c r="A202" s="122" t="s">
        <v>250</v>
      </c>
      <c r="B202" s="122" t="s">
        <v>779</v>
      </c>
      <c r="C202" s="115"/>
      <c r="D202" s="123" t="str">
        <f>IF(Kielivalinta="","",IF(Kielivalinta="Suomi",_xlfn.IFNA(VLOOKUP($A202,Data!$A$2:$C$612,2,FALSE),0),IF(Kielivalinta="Svenska",_xlfn.IFNA(VLOOKUP($B202,Data!$A$2:$C$612,2,FALSE),0))))</f>
        <v/>
      </c>
      <c r="E202" s="123" t="str">
        <f>IF(Kielivalinta="","",IF(Kielivalinta="Suomi",_xlfn.IFNA(VLOOKUP($A202,Data!$A$2:$C$612,3,FALSE),0),IF(Kielivalinta="Svenska",_xlfn.IFNA(VLOOKUP($B202,Data!$A$2:$C$612,3,FALSE),0))))</f>
        <v/>
      </c>
      <c r="F202" s="119"/>
      <c r="G202" s="119"/>
      <c r="H202" s="119"/>
      <c r="I202" s="119"/>
      <c r="J202" s="119"/>
      <c r="Q202" s="122"/>
      <c r="R202" s="119"/>
      <c r="S202" s="119"/>
      <c r="T202" s="119"/>
      <c r="U202" s="119"/>
      <c r="V202" s="119"/>
      <c r="W202" s="119"/>
    </row>
    <row r="203" spans="1:23" x14ac:dyDescent="0.2">
      <c r="A203" s="119" t="s">
        <v>251</v>
      </c>
      <c r="B203" s="119" t="s">
        <v>1125</v>
      </c>
      <c r="C203" s="115"/>
      <c r="D203" s="123" t="str">
        <f>IF(Kielivalinta="","",IF(Kielivalinta="Suomi",_xlfn.IFNA(VLOOKUP($A203,Data!$A$2:$C$612,2,FALSE),0),IF(Kielivalinta="Svenska",_xlfn.IFNA(VLOOKUP($B203,Data!$A$2:$C$612,2,FALSE),0))))</f>
        <v/>
      </c>
      <c r="E203" s="123" t="str">
        <f>IF(Kielivalinta="","",IF(Kielivalinta="Suomi",_xlfn.IFNA(VLOOKUP($A203,Data!$A$2:$C$612,3,FALSE),0),IF(Kielivalinta="Svenska",_xlfn.IFNA(VLOOKUP($B203,Data!$A$2:$C$612,3,FALSE),0))))</f>
        <v/>
      </c>
      <c r="F203" s="119"/>
      <c r="G203" s="119"/>
      <c r="H203" s="119"/>
      <c r="I203" s="119"/>
      <c r="J203" s="119"/>
      <c r="Q203" s="119"/>
      <c r="R203" s="119"/>
      <c r="S203" s="119"/>
      <c r="T203" s="119"/>
      <c r="U203" s="119"/>
      <c r="V203" s="119"/>
      <c r="W203" s="119"/>
    </row>
    <row r="204" spans="1:23" x14ac:dyDescent="0.2">
      <c r="A204" s="119" t="s">
        <v>252</v>
      </c>
      <c r="B204" s="119" t="s">
        <v>1126</v>
      </c>
      <c r="C204" s="115"/>
      <c r="D204" s="123" t="str">
        <f>IF(Kielivalinta="","",IF(Kielivalinta="Suomi",_xlfn.IFNA(VLOOKUP($A204,Data!$A$2:$C$612,2,FALSE),0),IF(Kielivalinta="Svenska",_xlfn.IFNA(VLOOKUP($B204,Data!$A$2:$C$612,2,FALSE),0))))</f>
        <v/>
      </c>
      <c r="E204" s="123" t="str">
        <f>IF(Kielivalinta="","",IF(Kielivalinta="Suomi",_xlfn.IFNA(VLOOKUP($A204,Data!$A$2:$C$612,3,FALSE),0),IF(Kielivalinta="Svenska",_xlfn.IFNA(VLOOKUP($B204,Data!$A$2:$C$612,3,FALSE),0))))</f>
        <v/>
      </c>
      <c r="F204" s="119"/>
      <c r="G204" s="119"/>
      <c r="H204" s="119"/>
      <c r="I204" s="119"/>
      <c r="J204" s="119"/>
      <c r="Q204" s="119"/>
      <c r="R204" s="119"/>
      <c r="S204" s="119"/>
      <c r="T204" s="119"/>
      <c r="U204" s="119"/>
      <c r="V204" s="119"/>
      <c r="W204" s="119"/>
    </row>
    <row r="205" spans="1:23" x14ac:dyDescent="0.2">
      <c r="A205" s="122" t="s">
        <v>253</v>
      </c>
      <c r="B205" s="122" t="s">
        <v>780</v>
      </c>
      <c r="C205" s="115"/>
      <c r="D205" s="123" t="str">
        <f>IF(Kielivalinta="","",IF(Kielivalinta="Suomi",_xlfn.IFNA(VLOOKUP($A205,Data!$A$2:$C$612,2,FALSE),0),IF(Kielivalinta="Svenska",_xlfn.IFNA(VLOOKUP($B205,Data!$A$2:$C$612,2,FALSE),0))))</f>
        <v/>
      </c>
      <c r="E205" s="123" t="str">
        <f>IF(Kielivalinta="","",IF(Kielivalinta="Suomi",_xlfn.IFNA(VLOOKUP($A205,Data!$A$2:$C$612,3,FALSE),0),IF(Kielivalinta="Svenska",_xlfn.IFNA(VLOOKUP($B205,Data!$A$2:$C$612,3,FALSE),0))))</f>
        <v/>
      </c>
      <c r="F205" s="119"/>
      <c r="G205" s="119"/>
      <c r="H205" s="119"/>
      <c r="I205" s="119"/>
      <c r="J205" s="119"/>
      <c r="Q205" s="122"/>
      <c r="R205" s="119"/>
      <c r="S205" s="119"/>
      <c r="T205" s="119"/>
      <c r="U205" s="119"/>
      <c r="V205" s="119"/>
      <c r="W205" s="119"/>
    </row>
    <row r="206" spans="1:23" x14ac:dyDescent="0.2">
      <c r="A206" s="122" t="s">
        <v>254</v>
      </c>
      <c r="B206" s="122" t="s">
        <v>781</v>
      </c>
      <c r="C206" s="115"/>
      <c r="D206" s="123" t="str">
        <f>IF(Kielivalinta="","",IF(Kielivalinta="Suomi",_xlfn.IFNA(VLOOKUP($A206,Data!$A$2:$C$612,2,FALSE),0),IF(Kielivalinta="Svenska",_xlfn.IFNA(VLOOKUP($B206,Data!$A$2:$C$612,2,FALSE),0))))</f>
        <v/>
      </c>
      <c r="E206" s="123" t="str">
        <f>IF(Kielivalinta="","",IF(Kielivalinta="Suomi",_xlfn.IFNA(VLOOKUP($A206,Data!$A$2:$C$612,3,FALSE),0),IF(Kielivalinta="Svenska",_xlfn.IFNA(VLOOKUP($B206,Data!$A$2:$C$612,3,FALSE),0))))</f>
        <v/>
      </c>
      <c r="F206" s="119"/>
      <c r="G206" s="119"/>
      <c r="H206" s="119"/>
      <c r="I206" s="119"/>
      <c r="J206" s="119"/>
      <c r="Q206" s="122"/>
      <c r="R206" s="119"/>
      <c r="S206" s="119"/>
      <c r="T206" s="119"/>
      <c r="U206" s="119"/>
      <c r="V206" s="119"/>
      <c r="W206" s="119"/>
    </row>
    <row r="207" spans="1:23" x14ac:dyDescent="0.2">
      <c r="A207" s="119" t="s">
        <v>255</v>
      </c>
      <c r="B207" s="119" t="s">
        <v>1127</v>
      </c>
      <c r="C207" s="115"/>
      <c r="D207" s="123" t="str">
        <f>IF(Kielivalinta="","",IF(Kielivalinta="Suomi",_xlfn.IFNA(VLOOKUP($A207,Data!$A$2:$C$612,2,FALSE),0),IF(Kielivalinta="Svenska",_xlfn.IFNA(VLOOKUP($B207,Data!$A$2:$C$612,2,FALSE),0))))</f>
        <v/>
      </c>
      <c r="E207" s="123" t="str">
        <f>IF(Kielivalinta="","",IF(Kielivalinta="Suomi",_xlfn.IFNA(VLOOKUP($A207,Data!$A$2:$C$612,3,FALSE),0),IF(Kielivalinta="Svenska",_xlfn.IFNA(VLOOKUP($B207,Data!$A$2:$C$612,3,FALSE),0))))</f>
        <v/>
      </c>
      <c r="F207" s="119"/>
      <c r="G207" s="119"/>
      <c r="H207" s="119"/>
      <c r="I207" s="119"/>
      <c r="J207" s="119"/>
      <c r="Q207" s="119"/>
      <c r="R207" s="119"/>
      <c r="S207" s="119"/>
      <c r="T207" s="119"/>
      <c r="U207" s="119"/>
      <c r="V207" s="119"/>
      <c r="W207" s="119"/>
    </row>
    <row r="208" spans="1:23" x14ac:dyDescent="0.2">
      <c r="A208" s="122" t="s">
        <v>256</v>
      </c>
      <c r="B208" s="122" t="s">
        <v>782</v>
      </c>
      <c r="C208" s="115"/>
      <c r="D208" s="123" t="str">
        <f>IF(Kielivalinta="","",IF(Kielivalinta="Suomi",_xlfn.IFNA(VLOOKUP($A208,Data!$A$2:$C$612,2,FALSE),0),IF(Kielivalinta="Svenska",_xlfn.IFNA(VLOOKUP($B208,Data!$A$2:$C$612,2,FALSE),0))))</f>
        <v/>
      </c>
      <c r="E208" s="123" t="str">
        <f>IF(Kielivalinta="","",IF(Kielivalinta="Suomi",_xlfn.IFNA(VLOOKUP($A208,Data!$A$2:$C$612,3,FALSE),0),IF(Kielivalinta="Svenska",_xlfn.IFNA(VLOOKUP($B208,Data!$A$2:$C$612,3,FALSE),0))))</f>
        <v/>
      </c>
      <c r="F208" s="119"/>
      <c r="G208" s="119"/>
      <c r="H208" s="119"/>
      <c r="I208" s="119"/>
      <c r="J208" s="119"/>
      <c r="Q208" s="122"/>
      <c r="R208" s="119"/>
      <c r="S208" s="119"/>
      <c r="T208" s="119"/>
      <c r="U208" s="119"/>
      <c r="V208" s="119"/>
      <c r="W208" s="119"/>
    </row>
    <row r="209" spans="1:23" x14ac:dyDescent="0.2">
      <c r="A209" s="122" t="s">
        <v>257</v>
      </c>
      <c r="B209" s="122" t="s">
        <v>783</v>
      </c>
      <c r="C209" s="115"/>
      <c r="D209" s="123" t="str">
        <f>IF(Kielivalinta="","",IF(Kielivalinta="Suomi",_xlfn.IFNA(VLOOKUP($A209,Data!$A$2:$C$612,2,FALSE),0),IF(Kielivalinta="Svenska",_xlfn.IFNA(VLOOKUP($B209,Data!$A$2:$C$612,2,FALSE),0))))</f>
        <v/>
      </c>
      <c r="E209" s="123" t="str">
        <f>IF(Kielivalinta="","",IF(Kielivalinta="Suomi",_xlfn.IFNA(VLOOKUP($A209,Data!$A$2:$C$612,3,FALSE),0),IF(Kielivalinta="Svenska",_xlfn.IFNA(VLOOKUP($B209,Data!$A$2:$C$612,3,FALSE),0))))</f>
        <v/>
      </c>
      <c r="F209" s="119"/>
      <c r="G209" s="119"/>
      <c r="H209" s="119"/>
      <c r="I209" s="119"/>
      <c r="J209" s="119"/>
      <c r="Q209" s="122"/>
      <c r="R209" s="119"/>
      <c r="S209" s="119"/>
      <c r="T209" s="119"/>
      <c r="U209" s="119"/>
      <c r="V209" s="119"/>
      <c r="W209" s="119"/>
    </row>
    <row r="210" spans="1:23" x14ac:dyDescent="0.2">
      <c r="A210" s="122" t="s">
        <v>258</v>
      </c>
      <c r="B210" s="122" t="s">
        <v>784</v>
      </c>
      <c r="C210" s="115"/>
      <c r="D210" s="123" t="str">
        <f>IF(Kielivalinta="","",IF(Kielivalinta="Suomi",_xlfn.IFNA(VLOOKUP($A210,Data!$A$2:$C$612,2,FALSE),0),IF(Kielivalinta="Svenska",_xlfn.IFNA(VLOOKUP($B210,Data!$A$2:$C$612,2,FALSE),0))))</f>
        <v/>
      </c>
      <c r="E210" s="123" t="str">
        <f>IF(Kielivalinta="","",IF(Kielivalinta="Suomi",_xlfn.IFNA(VLOOKUP($A210,Data!$A$2:$C$612,3,FALSE),0),IF(Kielivalinta="Svenska",_xlfn.IFNA(VLOOKUP($B210,Data!$A$2:$C$612,3,FALSE),0))))</f>
        <v/>
      </c>
      <c r="F210" s="119"/>
      <c r="G210" s="119"/>
      <c r="H210" s="119"/>
      <c r="I210" s="119"/>
      <c r="J210" s="119"/>
      <c r="Q210" s="122"/>
      <c r="R210" s="119"/>
      <c r="S210" s="119"/>
      <c r="T210" s="119"/>
      <c r="U210" s="119"/>
      <c r="V210" s="119"/>
      <c r="W210" s="119"/>
    </row>
    <row r="211" spans="1:23" x14ac:dyDescent="0.2">
      <c r="A211" s="122" t="s">
        <v>259</v>
      </c>
      <c r="B211" s="122" t="s">
        <v>785</v>
      </c>
      <c r="C211" s="115"/>
      <c r="D211" s="123" t="str">
        <f>IF(Kielivalinta="","",IF(Kielivalinta="Suomi",_xlfn.IFNA(VLOOKUP($A211,Data!$A$2:$C$612,2,FALSE),0),IF(Kielivalinta="Svenska",_xlfn.IFNA(VLOOKUP($B211,Data!$A$2:$C$612,2,FALSE),0))))</f>
        <v/>
      </c>
      <c r="E211" s="123" t="str">
        <f>IF(Kielivalinta="","",IF(Kielivalinta="Suomi",_xlfn.IFNA(VLOOKUP($A211,Data!$A$2:$C$612,3,FALSE),0),IF(Kielivalinta="Svenska",_xlfn.IFNA(VLOOKUP($B211,Data!$A$2:$C$612,3,FALSE),0))))</f>
        <v/>
      </c>
      <c r="F211" s="119"/>
      <c r="G211" s="119"/>
      <c r="H211" s="119"/>
      <c r="I211" s="119"/>
      <c r="J211" s="119"/>
      <c r="Q211" s="122"/>
      <c r="R211" s="119"/>
      <c r="S211" s="119"/>
      <c r="T211" s="119"/>
      <c r="U211" s="119"/>
      <c r="V211" s="119"/>
      <c r="W211" s="119"/>
    </row>
    <row r="212" spans="1:23" x14ac:dyDescent="0.2">
      <c r="A212" s="119" t="s">
        <v>260</v>
      </c>
      <c r="B212" s="119" t="s">
        <v>1128</v>
      </c>
      <c r="C212" s="115"/>
      <c r="D212" s="123" t="str">
        <f>IF(Kielivalinta="","",IF(Kielivalinta="Suomi",_xlfn.IFNA(VLOOKUP($A212,Data!$A$2:$C$612,2,FALSE),0),IF(Kielivalinta="Svenska",_xlfn.IFNA(VLOOKUP($B212,Data!$A$2:$C$612,2,FALSE),0))))</f>
        <v/>
      </c>
      <c r="E212" s="123" t="str">
        <f>IF(Kielivalinta="","",IF(Kielivalinta="Suomi",_xlfn.IFNA(VLOOKUP($A212,Data!$A$2:$C$612,3,FALSE),0),IF(Kielivalinta="Svenska",_xlfn.IFNA(VLOOKUP($B212,Data!$A$2:$C$612,3,FALSE),0))))</f>
        <v/>
      </c>
      <c r="F212" s="119"/>
      <c r="G212" s="119"/>
      <c r="H212" s="119"/>
      <c r="I212" s="119"/>
      <c r="J212" s="119"/>
      <c r="Q212" s="119"/>
      <c r="R212" s="119"/>
      <c r="S212" s="119"/>
      <c r="T212" s="119"/>
      <c r="U212" s="119"/>
      <c r="V212" s="119"/>
      <c r="W212" s="119"/>
    </row>
    <row r="213" spans="1:23" x14ac:dyDescent="0.2">
      <c r="A213" s="122" t="s">
        <v>261</v>
      </c>
      <c r="B213" s="122" t="s">
        <v>786</v>
      </c>
      <c r="C213" s="115"/>
      <c r="D213" s="123" t="str">
        <f>IF(Kielivalinta="","",IF(Kielivalinta="Suomi",_xlfn.IFNA(VLOOKUP($A213,Data!$A$2:$C$612,2,FALSE),0),IF(Kielivalinta="Svenska",_xlfn.IFNA(VLOOKUP($B213,Data!$A$2:$C$612,2,FALSE),0))))</f>
        <v/>
      </c>
      <c r="E213" s="123" t="str">
        <f>IF(Kielivalinta="","",IF(Kielivalinta="Suomi",_xlfn.IFNA(VLOOKUP($A213,Data!$A$2:$C$612,3,FALSE),0),IF(Kielivalinta="Svenska",_xlfn.IFNA(VLOOKUP($B213,Data!$A$2:$C$612,3,FALSE),0))))</f>
        <v/>
      </c>
      <c r="F213" s="119"/>
      <c r="G213" s="119"/>
      <c r="H213" s="119"/>
      <c r="I213" s="119"/>
      <c r="J213" s="119"/>
      <c r="Q213" s="122"/>
      <c r="R213" s="119"/>
      <c r="S213" s="119"/>
      <c r="T213" s="119"/>
      <c r="U213" s="119"/>
      <c r="V213" s="119"/>
      <c r="W213" s="119"/>
    </row>
    <row r="214" spans="1:23" x14ac:dyDescent="0.2">
      <c r="A214" s="122" t="s">
        <v>262</v>
      </c>
      <c r="B214" s="122" t="s">
        <v>787</v>
      </c>
      <c r="C214" s="115"/>
      <c r="D214" s="123" t="str">
        <f>IF(Kielivalinta="","",IF(Kielivalinta="Suomi",_xlfn.IFNA(VLOOKUP($A214,Data!$A$2:$C$612,2,FALSE),0),IF(Kielivalinta="Svenska",_xlfn.IFNA(VLOOKUP($B214,Data!$A$2:$C$612,2,FALSE),0))))</f>
        <v/>
      </c>
      <c r="E214" s="123" t="str">
        <f>IF(Kielivalinta="","",IF(Kielivalinta="Suomi",_xlfn.IFNA(VLOOKUP($A214,Data!$A$2:$C$612,3,FALSE),0),IF(Kielivalinta="Svenska",_xlfn.IFNA(VLOOKUP($B214,Data!$A$2:$C$612,3,FALSE),0))))</f>
        <v/>
      </c>
      <c r="F214" s="119"/>
      <c r="G214" s="119"/>
      <c r="H214" s="119"/>
      <c r="I214" s="119"/>
      <c r="J214" s="119"/>
      <c r="Q214" s="122"/>
      <c r="R214" s="119"/>
      <c r="S214" s="119"/>
      <c r="T214" s="119"/>
      <c r="U214" s="119"/>
      <c r="V214" s="119"/>
      <c r="W214" s="119"/>
    </row>
    <row r="215" spans="1:23" x14ac:dyDescent="0.2">
      <c r="A215" s="122" t="s">
        <v>263</v>
      </c>
      <c r="B215" s="122" t="s">
        <v>788</v>
      </c>
      <c r="C215" s="115"/>
      <c r="D215" s="123" t="str">
        <f>IF(Kielivalinta="","",IF(Kielivalinta="Suomi",_xlfn.IFNA(VLOOKUP($A215,Data!$A$2:$C$612,2,FALSE),0),IF(Kielivalinta="Svenska",_xlfn.IFNA(VLOOKUP($B215,Data!$A$2:$C$612,2,FALSE),0))))</f>
        <v/>
      </c>
      <c r="E215" s="123" t="str">
        <f>IF(Kielivalinta="","",IF(Kielivalinta="Suomi",_xlfn.IFNA(VLOOKUP($A215,Data!$A$2:$C$612,3,FALSE),0),IF(Kielivalinta="Svenska",_xlfn.IFNA(VLOOKUP($B215,Data!$A$2:$C$612,3,FALSE),0))))</f>
        <v/>
      </c>
      <c r="F215" s="119"/>
      <c r="G215" s="119"/>
      <c r="H215" s="119"/>
      <c r="I215" s="119"/>
      <c r="J215" s="119"/>
      <c r="Q215" s="122"/>
      <c r="R215" s="119"/>
      <c r="S215" s="119"/>
      <c r="T215" s="119"/>
      <c r="U215" s="119"/>
      <c r="V215" s="119"/>
      <c r="W215" s="119"/>
    </row>
    <row r="216" spans="1:23" x14ac:dyDescent="0.2">
      <c r="A216" s="122" t="s">
        <v>264</v>
      </c>
      <c r="B216" s="122" t="s">
        <v>789</v>
      </c>
      <c r="C216" s="115"/>
      <c r="D216" s="123" t="str">
        <f>IF(Kielivalinta="","",IF(Kielivalinta="Suomi",_xlfn.IFNA(VLOOKUP($A216,Data!$A$2:$C$612,2,FALSE),0),IF(Kielivalinta="Svenska",_xlfn.IFNA(VLOOKUP($B216,Data!$A$2:$C$612,2,FALSE),0))))</f>
        <v/>
      </c>
      <c r="E216" s="123" t="str">
        <f>IF(Kielivalinta="","",IF(Kielivalinta="Suomi",_xlfn.IFNA(VLOOKUP($A216,Data!$A$2:$C$612,3,FALSE),0),IF(Kielivalinta="Svenska",_xlfn.IFNA(VLOOKUP($B216,Data!$A$2:$C$612,3,FALSE),0))))</f>
        <v/>
      </c>
      <c r="F216" s="119"/>
      <c r="G216" s="119"/>
      <c r="H216" s="119"/>
      <c r="I216" s="119"/>
      <c r="J216" s="119"/>
      <c r="Q216" s="122"/>
      <c r="R216" s="119"/>
      <c r="S216" s="119"/>
      <c r="T216" s="119"/>
      <c r="U216" s="119"/>
      <c r="V216" s="119"/>
      <c r="W216" s="119"/>
    </row>
    <row r="217" spans="1:23" x14ac:dyDescent="0.2">
      <c r="A217" s="119" t="s">
        <v>265</v>
      </c>
      <c r="B217" s="119" t="s">
        <v>1129</v>
      </c>
      <c r="C217" s="115"/>
      <c r="D217" s="123" t="str">
        <f>IF(Kielivalinta="","",IF(Kielivalinta="Suomi",_xlfn.IFNA(VLOOKUP($A217,Data!$A$2:$C$612,2,FALSE),0),IF(Kielivalinta="Svenska",_xlfn.IFNA(VLOOKUP($B217,Data!$A$2:$C$612,2,FALSE),0))))</f>
        <v/>
      </c>
      <c r="E217" s="123" t="str">
        <f>IF(Kielivalinta="","",IF(Kielivalinta="Suomi",_xlfn.IFNA(VLOOKUP($A217,Data!$A$2:$C$612,3,FALSE),0),IF(Kielivalinta="Svenska",_xlfn.IFNA(VLOOKUP($B217,Data!$A$2:$C$612,3,FALSE),0))))</f>
        <v/>
      </c>
      <c r="F217" s="119"/>
      <c r="G217" s="119"/>
      <c r="H217" s="119"/>
      <c r="I217" s="119"/>
      <c r="J217" s="119"/>
      <c r="Q217" s="119"/>
      <c r="R217" s="119"/>
      <c r="S217" s="119"/>
      <c r="T217" s="119"/>
      <c r="U217" s="119"/>
      <c r="V217" s="119"/>
      <c r="W217" s="119"/>
    </row>
    <row r="218" spans="1:23" x14ac:dyDescent="0.2">
      <c r="A218" s="122" t="s">
        <v>266</v>
      </c>
      <c r="B218" s="122" t="s">
        <v>790</v>
      </c>
      <c r="C218" s="115"/>
      <c r="D218" s="123" t="str">
        <f>IF(Kielivalinta="","",IF(Kielivalinta="Suomi",_xlfn.IFNA(VLOOKUP($A218,Data!$A$2:$C$612,2,FALSE),0),IF(Kielivalinta="Svenska",_xlfn.IFNA(VLOOKUP($B218,Data!$A$2:$C$612,2,FALSE),0))))</f>
        <v/>
      </c>
      <c r="E218" s="123" t="str">
        <f>IF(Kielivalinta="","",IF(Kielivalinta="Suomi",_xlfn.IFNA(VLOOKUP($A218,Data!$A$2:$C$612,3,FALSE),0),IF(Kielivalinta="Svenska",_xlfn.IFNA(VLOOKUP($B218,Data!$A$2:$C$612,3,FALSE),0))))</f>
        <v/>
      </c>
      <c r="F218" s="119"/>
      <c r="G218" s="119"/>
      <c r="H218" s="119"/>
      <c r="I218" s="119"/>
      <c r="J218" s="119"/>
      <c r="Q218" s="122"/>
      <c r="R218" s="119"/>
      <c r="S218" s="119"/>
      <c r="T218" s="119"/>
      <c r="U218" s="119"/>
      <c r="V218" s="119"/>
      <c r="W218" s="119"/>
    </row>
    <row r="219" spans="1:23" x14ac:dyDescent="0.2">
      <c r="A219" s="119" t="s">
        <v>267</v>
      </c>
      <c r="B219" s="119" t="s">
        <v>1130</v>
      </c>
      <c r="C219" s="115"/>
      <c r="D219" s="123" t="str">
        <f>IF(Kielivalinta="","",IF(Kielivalinta="Suomi",_xlfn.IFNA(VLOOKUP($A219,Data!$A$2:$C$612,2,FALSE),0),IF(Kielivalinta="Svenska",_xlfn.IFNA(VLOOKUP($B219,Data!$A$2:$C$612,2,FALSE),0))))</f>
        <v/>
      </c>
      <c r="E219" s="123" t="str">
        <f>IF(Kielivalinta="","",IF(Kielivalinta="Suomi",_xlfn.IFNA(VLOOKUP($A219,Data!$A$2:$C$612,3,FALSE),0),IF(Kielivalinta="Svenska",_xlfn.IFNA(VLOOKUP($B219,Data!$A$2:$C$612,3,FALSE),0))))</f>
        <v/>
      </c>
      <c r="F219" s="119"/>
      <c r="G219" s="119"/>
      <c r="H219" s="119"/>
      <c r="I219" s="119"/>
      <c r="J219" s="119"/>
      <c r="Q219" s="119"/>
      <c r="R219" s="119"/>
      <c r="S219" s="119"/>
      <c r="T219" s="119"/>
      <c r="U219" s="119"/>
      <c r="V219" s="119"/>
      <c r="W219" s="119"/>
    </row>
    <row r="220" spans="1:23" x14ac:dyDescent="0.2">
      <c r="A220" s="122" t="s">
        <v>268</v>
      </c>
      <c r="B220" s="122" t="s">
        <v>791</v>
      </c>
      <c r="C220" s="115"/>
      <c r="D220" s="123" t="str">
        <f>IF(Kielivalinta="","",IF(Kielivalinta="Suomi",_xlfn.IFNA(VLOOKUP($A220,Data!$A$2:$C$612,2,FALSE),0),IF(Kielivalinta="Svenska",_xlfn.IFNA(VLOOKUP($B220,Data!$A$2:$C$612,2,FALSE),0))))</f>
        <v/>
      </c>
      <c r="E220" s="123" t="str">
        <f>IF(Kielivalinta="","",IF(Kielivalinta="Suomi",_xlfn.IFNA(VLOOKUP($A220,Data!$A$2:$C$612,3,FALSE),0),IF(Kielivalinta="Svenska",_xlfn.IFNA(VLOOKUP($B220,Data!$A$2:$C$612,3,FALSE),0))))</f>
        <v/>
      </c>
      <c r="F220" s="119"/>
      <c r="G220" s="119"/>
      <c r="H220" s="119"/>
      <c r="I220" s="119"/>
      <c r="J220" s="119"/>
      <c r="Q220" s="122"/>
      <c r="R220" s="119"/>
      <c r="S220" s="119"/>
      <c r="T220" s="119"/>
      <c r="U220" s="119"/>
      <c r="V220" s="119"/>
      <c r="W220" s="119"/>
    </row>
    <row r="221" spans="1:23" x14ac:dyDescent="0.2">
      <c r="A221" s="119" t="s">
        <v>269</v>
      </c>
      <c r="B221" s="119" t="s">
        <v>1131</v>
      </c>
      <c r="C221" s="115"/>
      <c r="D221" s="123" t="str">
        <f>IF(Kielivalinta="","",IF(Kielivalinta="Suomi",_xlfn.IFNA(VLOOKUP($A221,Data!$A$2:$C$612,2,FALSE),0),IF(Kielivalinta="Svenska",_xlfn.IFNA(VLOOKUP($B221,Data!$A$2:$C$612,2,FALSE),0))))</f>
        <v/>
      </c>
      <c r="E221" s="123" t="str">
        <f>IF(Kielivalinta="","",IF(Kielivalinta="Suomi",_xlfn.IFNA(VLOOKUP($A221,Data!$A$2:$C$612,3,FALSE),0),IF(Kielivalinta="Svenska",_xlfn.IFNA(VLOOKUP($B221,Data!$A$2:$C$612,3,FALSE),0))))</f>
        <v/>
      </c>
      <c r="F221" s="119"/>
      <c r="G221" s="119"/>
      <c r="H221" s="119"/>
      <c r="I221" s="119"/>
      <c r="J221" s="119"/>
      <c r="Q221" s="119"/>
      <c r="R221" s="119"/>
      <c r="S221" s="119"/>
      <c r="T221" s="119"/>
      <c r="U221" s="119"/>
      <c r="V221" s="119"/>
      <c r="W221" s="119"/>
    </row>
    <row r="222" spans="1:23" x14ac:dyDescent="0.2">
      <c r="A222" s="122" t="s">
        <v>270</v>
      </c>
      <c r="B222" s="122" t="s">
        <v>792</v>
      </c>
      <c r="C222" s="115"/>
      <c r="D222" s="123" t="str">
        <f>IF(Kielivalinta="","",IF(Kielivalinta="Suomi",_xlfn.IFNA(VLOOKUP($A222,Data!$A$2:$C$612,2,FALSE),0),IF(Kielivalinta="Svenska",_xlfn.IFNA(VLOOKUP($B222,Data!$A$2:$C$612,2,FALSE),0))))</f>
        <v/>
      </c>
      <c r="E222" s="123" t="str">
        <f>IF(Kielivalinta="","",IF(Kielivalinta="Suomi",_xlfn.IFNA(VLOOKUP($A222,Data!$A$2:$C$612,3,FALSE),0),IF(Kielivalinta="Svenska",_xlfn.IFNA(VLOOKUP($B222,Data!$A$2:$C$612,3,FALSE),0))))</f>
        <v/>
      </c>
      <c r="F222" s="119"/>
      <c r="G222" s="119"/>
      <c r="H222" s="119"/>
      <c r="I222" s="119"/>
      <c r="J222" s="119"/>
      <c r="Q222" s="122"/>
      <c r="R222" s="119"/>
      <c r="S222" s="119"/>
      <c r="T222" s="119"/>
      <c r="U222" s="119"/>
      <c r="V222" s="119"/>
      <c r="W222" s="119"/>
    </row>
    <row r="223" spans="1:23" x14ac:dyDescent="0.2">
      <c r="A223" s="119" t="s">
        <v>271</v>
      </c>
      <c r="B223" s="119" t="s">
        <v>1132</v>
      </c>
      <c r="C223" s="115"/>
      <c r="D223" s="123" t="str">
        <f>IF(Kielivalinta="","",IF(Kielivalinta="Suomi",_xlfn.IFNA(VLOOKUP($A223,Data!$A$2:$C$612,2,FALSE),0),IF(Kielivalinta="Svenska",_xlfn.IFNA(VLOOKUP($B223,Data!$A$2:$C$612,2,FALSE),0))))</f>
        <v/>
      </c>
      <c r="E223" s="123" t="str">
        <f>IF(Kielivalinta="","",IF(Kielivalinta="Suomi",_xlfn.IFNA(VLOOKUP($A223,Data!$A$2:$C$612,3,FALSE),0),IF(Kielivalinta="Svenska",_xlfn.IFNA(VLOOKUP($B223,Data!$A$2:$C$612,3,FALSE),0))))</f>
        <v/>
      </c>
      <c r="F223" s="119"/>
      <c r="G223" s="119"/>
      <c r="H223" s="119"/>
      <c r="I223" s="119"/>
      <c r="J223" s="119"/>
      <c r="Q223" s="119"/>
      <c r="R223" s="119"/>
      <c r="S223" s="119"/>
      <c r="T223" s="119"/>
      <c r="U223" s="119"/>
      <c r="V223" s="119"/>
      <c r="W223" s="119"/>
    </row>
    <row r="224" spans="1:23" x14ac:dyDescent="0.2">
      <c r="A224" s="122" t="s">
        <v>272</v>
      </c>
      <c r="B224" s="122" t="s">
        <v>793</v>
      </c>
      <c r="C224" s="115"/>
      <c r="D224" s="123" t="str">
        <f>IF(Kielivalinta="","",IF(Kielivalinta="Suomi",_xlfn.IFNA(VLOOKUP($A224,Data!$A$2:$C$612,2,FALSE),0),IF(Kielivalinta="Svenska",_xlfn.IFNA(VLOOKUP($B224,Data!$A$2:$C$612,2,FALSE),0))))</f>
        <v/>
      </c>
      <c r="E224" s="123" t="str">
        <f>IF(Kielivalinta="","",IF(Kielivalinta="Suomi",_xlfn.IFNA(VLOOKUP($A224,Data!$A$2:$C$612,3,FALSE),0),IF(Kielivalinta="Svenska",_xlfn.IFNA(VLOOKUP($B224,Data!$A$2:$C$612,3,FALSE),0))))</f>
        <v/>
      </c>
      <c r="F224" s="119"/>
      <c r="G224" s="119"/>
      <c r="H224" s="119"/>
      <c r="I224" s="119"/>
      <c r="J224" s="119"/>
      <c r="Q224" s="122"/>
      <c r="R224" s="119"/>
      <c r="S224" s="119"/>
      <c r="T224" s="119"/>
      <c r="U224" s="119"/>
      <c r="V224" s="119"/>
      <c r="W224" s="119"/>
    </row>
    <row r="225" spans="1:23" x14ac:dyDescent="0.2">
      <c r="A225" s="122" t="s">
        <v>273</v>
      </c>
      <c r="B225" s="122" t="s">
        <v>794</v>
      </c>
      <c r="C225" s="115"/>
      <c r="D225" s="123" t="str">
        <f>IF(Kielivalinta="","",IF(Kielivalinta="Suomi",_xlfn.IFNA(VLOOKUP($A225,Data!$A$2:$C$612,2,FALSE),0),IF(Kielivalinta="Svenska",_xlfn.IFNA(VLOOKUP($B225,Data!$A$2:$C$612,2,FALSE),0))))</f>
        <v/>
      </c>
      <c r="E225" s="123" t="str">
        <f>IF(Kielivalinta="","",IF(Kielivalinta="Suomi",_xlfn.IFNA(VLOOKUP($A225,Data!$A$2:$C$612,3,FALSE),0),IF(Kielivalinta="Svenska",_xlfn.IFNA(VLOOKUP($B225,Data!$A$2:$C$612,3,FALSE),0))))</f>
        <v/>
      </c>
      <c r="F225" s="119"/>
      <c r="G225" s="119"/>
      <c r="H225" s="119"/>
      <c r="I225" s="119"/>
      <c r="J225" s="119"/>
      <c r="Q225" s="122"/>
      <c r="R225" s="119"/>
      <c r="S225" s="119"/>
      <c r="T225" s="119"/>
      <c r="U225" s="119"/>
      <c r="V225" s="119"/>
      <c r="W225" s="119"/>
    </row>
    <row r="226" spans="1:23" x14ac:dyDescent="0.2">
      <c r="A226" s="122" t="s">
        <v>274</v>
      </c>
      <c r="B226" s="122" t="s">
        <v>795</v>
      </c>
      <c r="C226" s="115"/>
      <c r="D226" s="123" t="str">
        <f>IF(Kielivalinta="","",IF(Kielivalinta="Suomi",_xlfn.IFNA(VLOOKUP($A226,Data!$A$2:$C$612,2,FALSE),0),IF(Kielivalinta="Svenska",_xlfn.IFNA(VLOOKUP($B226,Data!$A$2:$C$612,2,FALSE),0))))</f>
        <v/>
      </c>
      <c r="E226" s="123" t="str">
        <f>IF(Kielivalinta="","",IF(Kielivalinta="Suomi",_xlfn.IFNA(VLOOKUP($A226,Data!$A$2:$C$612,3,FALSE),0),IF(Kielivalinta="Svenska",_xlfn.IFNA(VLOOKUP($B226,Data!$A$2:$C$612,3,FALSE),0))))</f>
        <v/>
      </c>
      <c r="F226" s="119"/>
      <c r="G226" s="119"/>
      <c r="H226" s="119"/>
      <c r="I226" s="119"/>
      <c r="J226" s="119"/>
      <c r="Q226" s="122"/>
      <c r="R226" s="119"/>
      <c r="S226" s="119"/>
      <c r="T226" s="119"/>
      <c r="U226" s="119"/>
      <c r="V226" s="119"/>
      <c r="W226" s="119"/>
    </row>
    <row r="227" spans="1:23" x14ac:dyDescent="0.2">
      <c r="A227" s="122" t="s">
        <v>275</v>
      </c>
      <c r="B227" s="122" t="s">
        <v>796</v>
      </c>
      <c r="C227" s="115"/>
      <c r="D227" s="123" t="str">
        <f>IF(Kielivalinta="","",IF(Kielivalinta="Suomi",_xlfn.IFNA(VLOOKUP($A227,Data!$A$2:$C$612,2,FALSE),0),IF(Kielivalinta="Svenska",_xlfn.IFNA(VLOOKUP($B227,Data!$A$2:$C$612,2,FALSE),0))))</f>
        <v/>
      </c>
      <c r="E227" s="123" t="str">
        <f>IF(Kielivalinta="","",IF(Kielivalinta="Suomi",_xlfn.IFNA(VLOOKUP($A227,Data!$A$2:$C$612,3,FALSE),0),IF(Kielivalinta="Svenska",_xlfn.IFNA(VLOOKUP($B227,Data!$A$2:$C$612,3,FALSE),0))))</f>
        <v/>
      </c>
      <c r="F227" s="119"/>
      <c r="G227" s="119"/>
      <c r="H227" s="119"/>
      <c r="I227" s="119"/>
      <c r="J227" s="119"/>
      <c r="Q227" s="122"/>
      <c r="R227" s="119"/>
      <c r="S227" s="119"/>
      <c r="T227" s="119"/>
      <c r="U227" s="119"/>
      <c r="V227" s="119"/>
      <c r="W227" s="119"/>
    </row>
    <row r="228" spans="1:23" x14ac:dyDescent="0.2">
      <c r="A228" s="119" t="s">
        <v>276</v>
      </c>
      <c r="B228" s="119" t="s">
        <v>1133</v>
      </c>
      <c r="C228" s="115"/>
      <c r="D228" s="123" t="str">
        <f>IF(Kielivalinta="","",IF(Kielivalinta="Suomi",_xlfn.IFNA(VLOOKUP($A228,Data!$A$2:$C$612,2,FALSE),0),IF(Kielivalinta="Svenska",_xlfn.IFNA(VLOOKUP($B228,Data!$A$2:$C$612,2,FALSE),0))))</f>
        <v/>
      </c>
      <c r="E228" s="123" t="str">
        <f>IF(Kielivalinta="","",IF(Kielivalinta="Suomi",_xlfn.IFNA(VLOOKUP($A228,Data!$A$2:$C$612,3,FALSE),0),IF(Kielivalinta="Svenska",_xlfn.IFNA(VLOOKUP($B228,Data!$A$2:$C$612,3,FALSE),0))))</f>
        <v/>
      </c>
      <c r="F228" s="119"/>
      <c r="G228" s="119"/>
      <c r="H228" s="119"/>
      <c r="I228" s="119"/>
      <c r="J228" s="119"/>
      <c r="Q228" s="119"/>
      <c r="R228" s="119"/>
      <c r="S228" s="119"/>
      <c r="T228" s="119"/>
      <c r="U228" s="119"/>
      <c r="V228" s="119"/>
      <c r="W228" s="119"/>
    </row>
    <row r="229" spans="1:23" x14ac:dyDescent="0.2">
      <c r="A229" s="122" t="s">
        <v>277</v>
      </c>
      <c r="B229" s="122" t="s">
        <v>797</v>
      </c>
      <c r="C229" s="115"/>
      <c r="D229" s="123" t="str">
        <f>IF(Kielivalinta="","",IF(Kielivalinta="Suomi",_xlfn.IFNA(VLOOKUP($A229,Data!$A$2:$C$612,2,FALSE),0),IF(Kielivalinta="Svenska",_xlfn.IFNA(VLOOKUP($B229,Data!$A$2:$C$612,2,FALSE),0))))</f>
        <v/>
      </c>
      <c r="E229" s="123" t="str">
        <f>IF(Kielivalinta="","",IF(Kielivalinta="Suomi",_xlfn.IFNA(VLOOKUP($A229,Data!$A$2:$C$612,3,FALSE),0),IF(Kielivalinta="Svenska",_xlfn.IFNA(VLOOKUP($B229,Data!$A$2:$C$612,3,FALSE),0))))</f>
        <v/>
      </c>
      <c r="F229" s="119"/>
      <c r="G229" s="119"/>
      <c r="H229" s="119"/>
      <c r="I229" s="119"/>
      <c r="J229" s="119"/>
      <c r="Q229" s="122"/>
      <c r="R229" s="119"/>
      <c r="S229" s="119"/>
      <c r="T229" s="119"/>
      <c r="U229" s="119"/>
      <c r="V229" s="119"/>
      <c r="W229" s="119"/>
    </row>
    <row r="230" spans="1:23" x14ac:dyDescent="0.2">
      <c r="A230" s="122" t="s">
        <v>278</v>
      </c>
      <c r="B230" s="122" t="s">
        <v>798</v>
      </c>
      <c r="C230" s="115"/>
      <c r="D230" s="123" t="str">
        <f>IF(Kielivalinta="","",IF(Kielivalinta="Suomi",_xlfn.IFNA(VLOOKUP($A230,Data!$A$2:$C$612,2,FALSE),0),IF(Kielivalinta="Svenska",_xlfn.IFNA(VLOOKUP($B230,Data!$A$2:$C$612,2,FALSE),0))))</f>
        <v/>
      </c>
      <c r="E230" s="123" t="str">
        <f>IF(Kielivalinta="","",IF(Kielivalinta="Suomi",_xlfn.IFNA(VLOOKUP($A230,Data!$A$2:$C$612,3,FALSE),0),IF(Kielivalinta="Svenska",_xlfn.IFNA(VLOOKUP($B230,Data!$A$2:$C$612,3,FALSE),0))))</f>
        <v/>
      </c>
      <c r="F230" s="119"/>
      <c r="G230" s="119"/>
      <c r="H230" s="119"/>
      <c r="I230" s="119"/>
      <c r="J230" s="119"/>
      <c r="Q230" s="122"/>
      <c r="R230" s="119"/>
      <c r="S230" s="119"/>
      <c r="T230" s="119"/>
      <c r="U230" s="119"/>
      <c r="V230" s="119"/>
      <c r="W230" s="119"/>
    </row>
    <row r="231" spans="1:23" x14ac:dyDescent="0.2">
      <c r="A231" s="122" t="s">
        <v>279</v>
      </c>
      <c r="B231" s="122" t="s">
        <v>799</v>
      </c>
      <c r="C231" s="115"/>
      <c r="D231" s="123" t="str">
        <f>IF(Kielivalinta="","",IF(Kielivalinta="Suomi",_xlfn.IFNA(VLOOKUP($A231,Data!$A$2:$C$612,2,FALSE),0),IF(Kielivalinta="Svenska",_xlfn.IFNA(VLOOKUP($B231,Data!$A$2:$C$612,2,FALSE),0))))</f>
        <v/>
      </c>
      <c r="E231" s="123" t="str">
        <f>IF(Kielivalinta="","",IF(Kielivalinta="Suomi",_xlfn.IFNA(VLOOKUP($A231,Data!$A$2:$C$612,3,FALSE),0),IF(Kielivalinta="Svenska",_xlfn.IFNA(VLOOKUP($B231,Data!$A$2:$C$612,3,FALSE),0))))</f>
        <v/>
      </c>
      <c r="F231" s="119"/>
      <c r="G231" s="119"/>
      <c r="H231" s="119"/>
      <c r="I231" s="119"/>
      <c r="J231" s="119"/>
      <c r="Q231" s="122"/>
      <c r="R231" s="119"/>
      <c r="S231" s="119"/>
      <c r="T231" s="119"/>
      <c r="U231" s="119"/>
      <c r="V231" s="119"/>
      <c r="W231" s="119"/>
    </row>
    <row r="232" spans="1:23" x14ac:dyDescent="0.2">
      <c r="A232" s="122" t="s">
        <v>280</v>
      </c>
      <c r="B232" s="122" t="s">
        <v>800</v>
      </c>
      <c r="C232" s="115"/>
      <c r="D232" s="123" t="str">
        <f>IF(Kielivalinta="","",IF(Kielivalinta="Suomi",_xlfn.IFNA(VLOOKUP($A232,Data!$A$2:$C$612,2,FALSE),0),IF(Kielivalinta="Svenska",_xlfn.IFNA(VLOOKUP($B232,Data!$A$2:$C$612,2,FALSE),0))))</f>
        <v/>
      </c>
      <c r="E232" s="123" t="str">
        <f>IF(Kielivalinta="","",IF(Kielivalinta="Suomi",_xlfn.IFNA(VLOOKUP($A232,Data!$A$2:$C$612,3,FALSE),0),IF(Kielivalinta="Svenska",_xlfn.IFNA(VLOOKUP($B232,Data!$A$2:$C$612,3,FALSE),0))))</f>
        <v/>
      </c>
      <c r="F232" s="119"/>
      <c r="G232" s="119"/>
      <c r="H232" s="119"/>
      <c r="I232" s="119"/>
      <c r="J232" s="119"/>
      <c r="Q232" s="122"/>
      <c r="R232" s="119"/>
      <c r="S232" s="119"/>
      <c r="T232" s="119"/>
      <c r="U232" s="119"/>
      <c r="V232" s="119"/>
      <c r="W232" s="119"/>
    </row>
    <row r="233" spans="1:23" x14ac:dyDescent="0.2">
      <c r="A233" s="122" t="s">
        <v>281</v>
      </c>
      <c r="B233" s="122" t="s">
        <v>801</v>
      </c>
      <c r="C233" s="115"/>
      <c r="D233" s="123" t="str">
        <f>IF(Kielivalinta="","",IF(Kielivalinta="Suomi",_xlfn.IFNA(VLOOKUP($A233,Data!$A$2:$C$612,2,FALSE),0),IF(Kielivalinta="Svenska",_xlfn.IFNA(VLOOKUP($B233,Data!$A$2:$C$612,2,FALSE),0))))</f>
        <v/>
      </c>
      <c r="E233" s="123" t="str">
        <f>IF(Kielivalinta="","",IF(Kielivalinta="Suomi",_xlfn.IFNA(VLOOKUP($A233,Data!$A$2:$C$612,3,FALSE),0),IF(Kielivalinta="Svenska",_xlfn.IFNA(VLOOKUP($B233,Data!$A$2:$C$612,3,FALSE),0))))</f>
        <v/>
      </c>
      <c r="F233" s="119"/>
      <c r="G233" s="119"/>
      <c r="H233" s="119"/>
      <c r="I233" s="119"/>
      <c r="J233" s="119"/>
      <c r="Q233" s="122"/>
      <c r="R233" s="119"/>
      <c r="S233" s="119"/>
      <c r="T233" s="119"/>
      <c r="U233" s="119"/>
      <c r="V233" s="119"/>
      <c r="W233" s="119"/>
    </row>
    <row r="234" spans="1:23" x14ac:dyDescent="0.2">
      <c r="A234" s="122" t="s">
        <v>282</v>
      </c>
      <c r="B234" s="122" t="s">
        <v>802</v>
      </c>
      <c r="C234" s="115"/>
      <c r="D234" s="123" t="str">
        <f>IF(Kielivalinta="","",IF(Kielivalinta="Suomi",_xlfn.IFNA(VLOOKUP($A234,Data!$A$2:$C$612,2,FALSE),0),IF(Kielivalinta="Svenska",_xlfn.IFNA(VLOOKUP($B234,Data!$A$2:$C$612,2,FALSE),0))))</f>
        <v/>
      </c>
      <c r="E234" s="123" t="str">
        <f>IF(Kielivalinta="","",IF(Kielivalinta="Suomi",_xlfn.IFNA(VLOOKUP($A234,Data!$A$2:$C$612,3,FALSE),0),IF(Kielivalinta="Svenska",_xlfn.IFNA(VLOOKUP($B234,Data!$A$2:$C$612,3,FALSE),0))))</f>
        <v/>
      </c>
      <c r="F234" s="119"/>
      <c r="G234" s="119"/>
      <c r="H234" s="119"/>
      <c r="I234" s="119"/>
      <c r="J234" s="119"/>
      <c r="Q234" s="122"/>
      <c r="R234" s="119"/>
      <c r="S234" s="119"/>
      <c r="T234" s="119"/>
      <c r="U234" s="119"/>
      <c r="V234" s="119"/>
      <c r="W234" s="119"/>
    </row>
    <row r="235" spans="1:23" x14ac:dyDescent="0.2">
      <c r="A235" s="122" t="s">
        <v>283</v>
      </c>
      <c r="B235" s="122" t="s">
        <v>803</v>
      </c>
      <c r="C235" s="115"/>
      <c r="D235" s="123" t="str">
        <f>IF(Kielivalinta="","",IF(Kielivalinta="Suomi",_xlfn.IFNA(VLOOKUP($A235,Data!$A$2:$C$612,2,FALSE),0),IF(Kielivalinta="Svenska",_xlfn.IFNA(VLOOKUP($B235,Data!$A$2:$C$612,2,FALSE),0))))</f>
        <v/>
      </c>
      <c r="E235" s="123" t="str">
        <f>IF(Kielivalinta="","",IF(Kielivalinta="Suomi",_xlfn.IFNA(VLOOKUP($A235,Data!$A$2:$C$612,3,FALSE),0),IF(Kielivalinta="Svenska",_xlfn.IFNA(VLOOKUP($B235,Data!$A$2:$C$612,3,FALSE),0))))</f>
        <v/>
      </c>
      <c r="F235" s="119"/>
      <c r="G235" s="119"/>
      <c r="H235" s="119"/>
      <c r="I235" s="119"/>
      <c r="J235" s="119"/>
      <c r="Q235" s="122"/>
      <c r="R235" s="119"/>
      <c r="S235" s="119"/>
      <c r="T235" s="119"/>
      <c r="U235" s="119"/>
      <c r="V235" s="119"/>
      <c r="W235" s="119"/>
    </row>
    <row r="236" spans="1:23" x14ac:dyDescent="0.2">
      <c r="A236" s="122" t="s">
        <v>284</v>
      </c>
      <c r="B236" s="122" t="s">
        <v>804</v>
      </c>
      <c r="C236" s="115"/>
      <c r="D236" s="123" t="str">
        <f>IF(Kielivalinta="","",IF(Kielivalinta="Suomi",_xlfn.IFNA(VLOOKUP($A236,Data!$A$2:$C$612,2,FALSE),0),IF(Kielivalinta="Svenska",_xlfn.IFNA(VLOOKUP($B236,Data!$A$2:$C$612,2,FALSE),0))))</f>
        <v/>
      </c>
      <c r="E236" s="123" t="str">
        <f>IF(Kielivalinta="","",IF(Kielivalinta="Suomi",_xlfn.IFNA(VLOOKUP($A236,Data!$A$2:$C$612,3,FALSE),0),IF(Kielivalinta="Svenska",_xlfn.IFNA(VLOOKUP($B236,Data!$A$2:$C$612,3,FALSE),0))))</f>
        <v/>
      </c>
      <c r="F236" s="119"/>
      <c r="G236" s="119"/>
      <c r="H236" s="119"/>
      <c r="I236" s="119"/>
      <c r="J236" s="119"/>
      <c r="Q236" s="122"/>
      <c r="R236" s="119"/>
      <c r="S236" s="119"/>
      <c r="T236" s="119"/>
      <c r="U236" s="119"/>
      <c r="V236" s="119"/>
      <c r="W236" s="119"/>
    </row>
    <row r="237" spans="1:23" x14ac:dyDescent="0.2">
      <c r="A237" s="119" t="s">
        <v>285</v>
      </c>
      <c r="B237" s="119" t="s">
        <v>1134</v>
      </c>
      <c r="C237" s="115"/>
      <c r="D237" s="123" t="str">
        <f>IF(Kielivalinta="","",IF(Kielivalinta="Suomi",_xlfn.IFNA(VLOOKUP($A237,Data!$A$2:$C$612,2,FALSE),0),IF(Kielivalinta="Svenska",_xlfn.IFNA(VLOOKUP($B237,Data!$A$2:$C$612,2,FALSE),0))))</f>
        <v/>
      </c>
      <c r="E237" s="123" t="str">
        <f>IF(Kielivalinta="","",IF(Kielivalinta="Suomi",_xlfn.IFNA(VLOOKUP($A237,Data!$A$2:$C$612,3,FALSE),0),IF(Kielivalinta="Svenska",_xlfn.IFNA(VLOOKUP($B237,Data!$A$2:$C$612,3,FALSE),0))))</f>
        <v/>
      </c>
      <c r="F237" s="119"/>
      <c r="G237" s="119"/>
      <c r="H237" s="119"/>
      <c r="I237" s="119"/>
      <c r="J237" s="119"/>
      <c r="Q237" s="119"/>
      <c r="R237" s="119"/>
      <c r="S237" s="119"/>
      <c r="T237" s="119"/>
      <c r="U237" s="119"/>
      <c r="V237" s="119"/>
      <c r="W237" s="119"/>
    </row>
    <row r="238" spans="1:23" x14ac:dyDescent="0.2">
      <c r="A238" s="122" t="s">
        <v>286</v>
      </c>
      <c r="B238" s="122" t="s">
        <v>805</v>
      </c>
      <c r="C238" s="115"/>
      <c r="D238" s="123" t="str">
        <f>IF(Kielivalinta="","",IF(Kielivalinta="Suomi",_xlfn.IFNA(VLOOKUP($A238,Data!$A$2:$C$612,2,FALSE),0),IF(Kielivalinta="Svenska",_xlfn.IFNA(VLOOKUP($B238,Data!$A$2:$C$612,2,FALSE),0))))</f>
        <v/>
      </c>
      <c r="E238" s="123" t="str">
        <f>IF(Kielivalinta="","",IF(Kielivalinta="Suomi",_xlfn.IFNA(VLOOKUP($A238,Data!$A$2:$C$612,3,FALSE),0),IF(Kielivalinta="Svenska",_xlfn.IFNA(VLOOKUP($B238,Data!$A$2:$C$612,3,FALSE),0))))</f>
        <v/>
      </c>
      <c r="F238" s="119"/>
      <c r="G238" s="119"/>
      <c r="H238" s="119"/>
      <c r="I238" s="119"/>
      <c r="J238" s="119"/>
      <c r="Q238" s="122"/>
      <c r="R238" s="119"/>
      <c r="S238" s="119"/>
      <c r="T238" s="119"/>
      <c r="U238" s="119"/>
      <c r="V238" s="119"/>
      <c r="W238" s="119"/>
    </row>
    <row r="239" spans="1:23" x14ac:dyDescent="0.2">
      <c r="A239" s="122" t="s">
        <v>287</v>
      </c>
      <c r="B239" s="122" t="s">
        <v>806</v>
      </c>
      <c r="C239" s="115"/>
      <c r="D239" s="123" t="str">
        <f>IF(Kielivalinta="","",IF(Kielivalinta="Suomi",_xlfn.IFNA(VLOOKUP($A239,Data!$A$2:$C$612,2,FALSE),0),IF(Kielivalinta="Svenska",_xlfn.IFNA(VLOOKUP($B239,Data!$A$2:$C$612,2,FALSE),0))))</f>
        <v/>
      </c>
      <c r="E239" s="123" t="str">
        <f>IF(Kielivalinta="","",IF(Kielivalinta="Suomi",_xlfn.IFNA(VLOOKUP($A239,Data!$A$2:$C$612,3,FALSE),0),IF(Kielivalinta="Svenska",_xlfn.IFNA(VLOOKUP($B239,Data!$A$2:$C$612,3,FALSE),0))))</f>
        <v/>
      </c>
      <c r="F239" s="119"/>
      <c r="G239" s="119"/>
      <c r="H239" s="119"/>
      <c r="I239" s="119"/>
      <c r="J239" s="119"/>
      <c r="Q239" s="122"/>
      <c r="R239" s="119"/>
      <c r="S239" s="119"/>
      <c r="T239" s="119"/>
      <c r="U239" s="119"/>
      <c r="V239" s="119"/>
      <c r="W239" s="119"/>
    </row>
    <row r="240" spans="1:23" x14ac:dyDescent="0.2">
      <c r="A240" s="122" t="s">
        <v>1277</v>
      </c>
      <c r="B240" s="122" t="s">
        <v>1285</v>
      </c>
      <c r="C240" s="115"/>
      <c r="D240" s="123" t="str">
        <f>IF(Kielivalinta="","",IF(Kielivalinta="Suomi",_xlfn.IFNA(VLOOKUP($A240,Data!$A$2:$C$612,2,FALSE),0),IF(Kielivalinta="Svenska",_xlfn.IFNA(VLOOKUP($B240,Data!$A$2:$C$612,2,FALSE),0))))</f>
        <v/>
      </c>
      <c r="E240" s="123" t="str">
        <f>IF(Kielivalinta="","",IF(Kielivalinta="Suomi",_xlfn.IFNA(VLOOKUP($A240,Data!$A$2:$C$612,3,FALSE),0),IF(Kielivalinta="Svenska",_xlfn.IFNA(VLOOKUP($B240,Data!$A$2:$C$612,3,FALSE),0))))</f>
        <v/>
      </c>
      <c r="F240" s="119"/>
      <c r="G240" s="119"/>
      <c r="H240" s="119"/>
      <c r="I240" s="119"/>
      <c r="J240" s="119"/>
      <c r="Q240" s="122"/>
      <c r="R240" s="119"/>
      <c r="S240" s="119"/>
      <c r="T240" s="119"/>
      <c r="U240" s="119"/>
      <c r="V240" s="119"/>
      <c r="W240" s="119"/>
    </row>
    <row r="241" spans="1:23" x14ac:dyDescent="0.2">
      <c r="A241" s="122" t="s">
        <v>288</v>
      </c>
      <c r="B241" s="122" t="s">
        <v>807</v>
      </c>
      <c r="C241" s="115"/>
      <c r="D241" s="123" t="str">
        <f>IF(Kielivalinta="","",IF(Kielivalinta="Suomi",_xlfn.IFNA(VLOOKUP($A241,Data!$A$2:$C$612,2,FALSE),0),IF(Kielivalinta="Svenska",_xlfn.IFNA(VLOOKUP($B241,Data!$A$2:$C$612,2,FALSE),0))))</f>
        <v/>
      </c>
      <c r="E241" s="123" t="str">
        <f>IF(Kielivalinta="","",IF(Kielivalinta="Suomi",_xlfn.IFNA(VLOOKUP($A241,Data!$A$2:$C$612,3,FALSE),0),IF(Kielivalinta="Svenska",_xlfn.IFNA(VLOOKUP($B241,Data!$A$2:$C$612,3,FALSE),0))))</f>
        <v/>
      </c>
      <c r="F241" s="119"/>
      <c r="G241" s="119"/>
      <c r="H241" s="119"/>
      <c r="I241" s="119"/>
      <c r="J241" s="119"/>
      <c r="Q241" s="122"/>
      <c r="R241" s="119"/>
      <c r="S241" s="119"/>
      <c r="T241" s="119"/>
      <c r="U241" s="119"/>
      <c r="V241" s="119"/>
      <c r="W241" s="119"/>
    </row>
    <row r="242" spans="1:23" x14ac:dyDescent="0.2">
      <c r="A242" s="122" t="s">
        <v>289</v>
      </c>
      <c r="B242" s="122" t="s">
        <v>808</v>
      </c>
      <c r="C242" s="115"/>
      <c r="D242" s="123" t="str">
        <f>IF(Kielivalinta="","",IF(Kielivalinta="Suomi",_xlfn.IFNA(VLOOKUP($A242,Data!$A$2:$C$612,2,FALSE),0),IF(Kielivalinta="Svenska",_xlfn.IFNA(VLOOKUP($B242,Data!$A$2:$C$612,2,FALSE),0))))</f>
        <v/>
      </c>
      <c r="E242" s="123" t="str">
        <f>IF(Kielivalinta="","",IF(Kielivalinta="Suomi",_xlfn.IFNA(VLOOKUP($A242,Data!$A$2:$C$612,3,FALSE),0),IF(Kielivalinta="Svenska",_xlfn.IFNA(VLOOKUP($B242,Data!$A$2:$C$612,3,FALSE),0))))</f>
        <v/>
      </c>
      <c r="F242" s="119"/>
      <c r="G242" s="119"/>
      <c r="H242" s="119"/>
      <c r="I242" s="119"/>
      <c r="J242" s="119"/>
      <c r="Q242" s="122"/>
      <c r="R242" s="119"/>
      <c r="S242" s="119"/>
      <c r="T242" s="119"/>
      <c r="U242" s="119"/>
      <c r="V242" s="119"/>
      <c r="W242" s="119"/>
    </row>
    <row r="243" spans="1:23" x14ac:dyDescent="0.2">
      <c r="A243" s="122" t="s">
        <v>290</v>
      </c>
      <c r="B243" s="122" t="s">
        <v>809</v>
      </c>
      <c r="C243" s="115"/>
      <c r="D243" s="123" t="str">
        <f>IF(Kielivalinta="","",IF(Kielivalinta="Suomi",_xlfn.IFNA(VLOOKUP($A243,Data!$A$2:$C$612,2,FALSE),0),IF(Kielivalinta="Svenska",_xlfn.IFNA(VLOOKUP($B243,Data!$A$2:$C$612,2,FALSE),0))))</f>
        <v/>
      </c>
      <c r="E243" s="123" t="str">
        <f>IF(Kielivalinta="","",IF(Kielivalinta="Suomi",_xlfn.IFNA(VLOOKUP($A243,Data!$A$2:$C$612,3,FALSE),0),IF(Kielivalinta="Svenska",_xlfn.IFNA(VLOOKUP($B243,Data!$A$2:$C$612,3,FALSE),0))))</f>
        <v/>
      </c>
      <c r="F243" s="119"/>
      <c r="G243" s="119"/>
      <c r="H243" s="119"/>
      <c r="I243" s="119"/>
      <c r="J243" s="119"/>
      <c r="Q243" s="122"/>
      <c r="R243" s="119"/>
      <c r="S243" s="119"/>
      <c r="T243" s="119"/>
      <c r="U243" s="119"/>
      <c r="V243" s="119"/>
      <c r="W243" s="119"/>
    </row>
    <row r="244" spans="1:23" x14ac:dyDescent="0.2">
      <c r="A244" s="122" t="s">
        <v>291</v>
      </c>
      <c r="B244" s="122" t="s">
        <v>810</v>
      </c>
      <c r="C244" s="115"/>
      <c r="D244" s="123" t="str">
        <f>IF(Kielivalinta="","",IF(Kielivalinta="Suomi",_xlfn.IFNA(VLOOKUP($A244,Data!$A$2:$C$612,2,FALSE),0),IF(Kielivalinta="Svenska",_xlfn.IFNA(VLOOKUP($B244,Data!$A$2:$C$612,2,FALSE),0))))</f>
        <v/>
      </c>
      <c r="E244" s="123" t="str">
        <f>IF(Kielivalinta="","",IF(Kielivalinta="Suomi",_xlfn.IFNA(VLOOKUP($A244,Data!$A$2:$C$612,3,FALSE),0),IF(Kielivalinta="Svenska",_xlfn.IFNA(VLOOKUP($B244,Data!$A$2:$C$612,3,FALSE),0))))</f>
        <v/>
      </c>
      <c r="F244" s="119"/>
      <c r="G244" s="119"/>
      <c r="H244" s="119"/>
      <c r="I244" s="119"/>
      <c r="J244" s="119"/>
      <c r="Q244" s="122"/>
      <c r="R244" s="119"/>
      <c r="S244" s="119"/>
      <c r="T244" s="119"/>
      <c r="U244" s="119"/>
      <c r="V244" s="119"/>
      <c r="W244" s="119"/>
    </row>
    <row r="245" spans="1:23" x14ac:dyDescent="0.2">
      <c r="A245" s="119" t="s">
        <v>292</v>
      </c>
      <c r="B245" s="119" t="s">
        <v>1135</v>
      </c>
      <c r="C245" s="115"/>
      <c r="D245" s="123" t="str">
        <f>IF(Kielivalinta="","",IF(Kielivalinta="Suomi",_xlfn.IFNA(VLOOKUP($A245,Data!$A$2:$C$612,2,FALSE),0),IF(Kielivalinta="Svenska",_xlfn.IFNA(VLOOKUP($B245,Data!$A$2:$C$612,2,FALSE),0))))</f>
        <v/>
      </c>
      <c r="E245" s="123" t="str">
        <f>IF(Kielivalinta="","",IF(Kielivalinta="Suomi",_xlfn.IFNA(VLOOKUP($A245,Data!$A$2:$C$612,3,FALSE),0),IF(Kielivalinta="Svenska",_xlfn.IFNA(VLOOKUP($B245,Data!$A$2:$C$612,3,FALSE),0))))</f>
        <v/>
      </c>
      <c r="F245" s="119"/>
      <c r="G245" s="119"/>
      <c r="H245" s="119"/>
      <c r="I245" s="119"/>
      <c r="J245" s="119"/>
      <c r="Q245" s="119"/>
      <c r="R245" s="119"/>
      <c r="S245" s="119"/>
      <c r="T245" s="119"/>
      <c r="U245" s="119"/>
      <c r="V245" s="119"/>
      <c r="W245" s="119"/>
    </row>
    <row r="246" spans="1:23" x14ac:dyDescent="0.2">
      <c r="A246" s="122" t="s">
        <v>293</v>
      </c>
      <c r="B246" s="122" t="s">
        <v>811</v>
      </c>
      <c r="C246" s="115"/>
      <c r="D246" s="123" t="str">
        <f>IF(Kielivalinta="","",IF(Kielivalinta="Suomi",_xlfn.IFNA(VLOOKUP($A246,Data!$A$2:$C$612,2,FALSE),0),IF(Kielivalinta="Svenska",_xlfn.IFNA(VLOOKUP($B246,Data!$A$2:$C$612,2,FALSE),0))))</f>
        <v/>
      </c>
      <c r="E246" s="123" t="str">
        <f>IF(Kielivalinta="","",IF(Kielivalinta="Suomi",_xlfn.IFNA(VLOOKUP($A246,Data!$A$2:$C$612,3,FALSE),0),IF(Kielivalinta="Svenska",_xlfn.IFNA(VLOOKUP($B246,Data!$A$2:$C$612,3,FALSE),0))))</f>
        <v/>
      </c>
      <c r="F246" s="119"/>
      <c r="G246" s="119"/>
      <c r="H246" s="119"/>
      <c r="I246" s="119"/>
      <c r="J246" s="119"/>
      <c r="Q246" s="122"/>
      <c r="R246" s="119"/>
      <c r="S246" s="119"/>
      <c r="T246" s="119"/>
      <c r="U246" s="119"/>
      <c r="V246" s="119"/>
      <c r="W246" s="119"/>
    </row>
    <row r="247" spans="1:23" x14ac:dyDescent="0.2">
      <c r="A247" s="122" t="s">
        <v>294</v>
      </c>
      <c r="B247" s="122" t="s">
        <v>812</v>
      </c>
      <c r="C247" s="115"/>
      <c r="D247" s="123" t="str">
        <f>IF(Kielivalinta="","",IF(Kielivalinta="Suomi",_xlfn.IFNA(VLOOKUP($A247,Data!$A$2:$C$612,2,FALSE),0),IF(Kielivalinta="Svenska",_xlfn.IFNA(VLOOKUP($B247,Data!$A$2:$C$612,2,FALSE),0))))</f>
        <v/>
      </c>
      <c r="E247" s="123" t="str">
        <f>IF(Kielivalinta="","",IF(Kielivalinta="Suomi",_xlfn.IFNA(VLOOKUP($A247,Data!$A$2:$C$612,3,FALSE),0),IF(Kielivalinta="Svenska",_xlfn.IFNA(VLOOKUP($B247,Data!$A$2:$C$612,3,FALSE),0))))</f>
        <v/>
      </c>
      <c r="F247" s="119"/>
      <c r="G247" s="119"/>
      <c r="H247" s="119"/>
      <c r="I247" s="119"/>
      <c r="J247" s="119"/>
      <c r="Q247" s="122"/>
      <c r="R247" s="119"/>
      <c r="S247" s="119"/>
      <c r="T247" s="119"/>
      <c r="U247" s="119"/>
      <c r="V247" s="119"/>
      <c r="W247" s="119"/>
    </row>
    <row r="248" spans="1:23" x14ac:dyDescent="0.2">
      <c r="A248" s="122" t="s">
        <v>295</v>
      </c>
      <c r="B248" s="122" t="s">
        <v>813</v>
      </c>
      <c r="C248" s="115"/>
      <c r="D248" s="123" t="str">
        <f>IF(Kielivalinta="","",IF(Kielivalinta="Suomi",_xlfn.IFNA(VLOOKUP($A248,Data!$A$2:$C$612,2,FALSE),0),IF(Kielivalinta="Svenska",_xlfn.IFNA(VLOOKUP($B248,Data!$A$2:$C$612,2,FALSE),0))))</f>
        <v/>
      </c>
      <c r="E248" s="123" t="str">
        <f>IF(Kielivalinta="","",IF(Kielivalinta="Suomi",_xlfn.IFNA(VLOOKUP($A248,Data!$A$2:$C$612,3,FALSE),0),IF(Kielivalinta="Svenska",_xlfn.IFNA(VLOOKUP($B248,Data!$A$2:$C$612,3,FALSE),0))))</f>
        <v/>
      </c>
      <c r="F248" s="119"/>
      <c r="G248" s="119"/>
      <c r="H248" s="119"/>
      <c r="I248" s="119"/>
      <c r="J248" s="119"/>
      <c r="Q248" s="122"/>
      <c r="R248" s="119"/>
      <c r="S248" s="119"/>
      <c r="T248" s="119"/>
      <c r="U248" s="119"/>
      <c r="V248" s="119"/>
      <c r="W248" s="119"/>
    </row>
    <row r="249" spans="1:23" x14ac:dyDescent="0.2">
      <c r="A249" s="122" t="s">
        <v>296</v>
      </c>
      <c r="B249" s="122" t="s">
        <v>814</v>
      </c>
      <c r="C249" s="115"/>
      <c r="D249" s="123" t="str">
        <f>IF(Kielivalinta="","",IF(Kielivalinta="Suomi",_xlfn.IFNA(VLOOKUP($A249,Data!$A$2:$C$612,2,FALSE),0),IF(Kielivalinta="Svenska",_xlfn.IFNA(VLOOKUP($B249,Data!$A$2:$C$612,2,FALSE),0))))</f>
        <v/>
      </c>
      <c r="E249" s="123" t="str">
        <f>IF(Kielivalinta="","",IF(Kielivalinta="Suomi",_xlfn.IFNA(VLOOKUP($A249,Data!$A$2:$C$612,3,FALSE),0),IF(Kielivalinta="Svenska",_xlfn.IFNA(VLOOKUP($B249,Data!$A$2:$C$612,3,FALSE),0))))</f>
        <v/>
      </c>
      <c r="F249" s="119"/>
      <c r="G249" s="119"/>
      <c r="H249" s="119"/>
      <c r="I249" s="119"/>
      <c r="J249" s="119"/>
      <c r="Q249" s="122"/>
      <c r="R249" s="119"/>
      <c r="S249" s="119"/>
      <c r="T249" s="119"/>
      <c r="U249" s="119"/>
      <c r="V249" s="119"/>
      <c r="W249" s="119"/>
    </row>
    <row r="250" spans="1:23" x14ac:dyDescent="0.2">
      <c r="A250" s="122" t="s">
        <v>297</v>
      </c>
      <c r="B250" s="122" t="s">
        <v>815</v>
      </c>
      <c r="C250" s="115"/>
      <c r="D250" s="123" t="str">
        <f>IF(Kielivalinta="","",IF(Kielivalinta="Suomi",_xlfn.IFNA(VLOOKUP($A250,Data!$A$2:$C$612,2,FALSE),0),IF(Kielivalinta="Svenska",_xlfn.IFNA(VLOOKUP($B250,Data!$A$2:$C$612,2,FALSE),0))))</f>
        <v/>
      </c>
      <c r="E250" s="123" t="str">
        <f>IF(Kielivalinta="","",IF(Kielivalinta="Suomi",_xlfn.IFNA(VLOOKUP($A250,Data!$A$2:$C$612,3,FALSE),0),IF(Kielivalinta="Svenska",_xlfn.IFNA(VLOOKUP($B250,Data!$A$2:$C$612,3,FALSE),0))))</f>
        <v/>
      </c>
      <c r="F250" s="119"/>
      <c r="G250" s="119"/>
      <c r="H250" s="119"/>
      <c r="I250" s="119"/>
      <c r="J250" s="119"/>
      <c r="Q250" s="122"/>
      <c r="R250" s="119"/>
      <c r="S250" s="119"/>
      <c r="T250" s="119"/>
      <c r="U250" s="119"/>
      <c r="V250" s="119"/>
      <c r="W250" s="119"/>
    </row>
    <row r="251" spans="1:23" x14ac:dyDescent="0.2">
      <c r="A251" s="122" t="s">
        <v>298</v>
      </c>
      <c r="B251" s="122" t="s">
        <v>816</v>
      </c>
      <c r="C251" s="115"/>
      <c r="D251" s="123" t="str">
        <f>IF(Kielivalinta="","",IF(Kielivalinta="Suomi",_xlfn.IFNA(VLOOKUP($A251,Data!$A$2:$C$612,2,FALSE),0),IF(Kielivalinta="Svenska",_xlfn.IFNA(VLOOKUP($B251,Data!$A$2:$C$612,2,FALSE),0))))</f>
        <v/>
      </c>
      <c r="E251" s="123" t="str">
        <f>IF(Kielivalinta="","",IF(Kielivalinta="Suomi",_xlfn.IFNA(VLOOKUP($A251,Data!$A$2:$C$612,3,FALSE),0),IF(Kielivalinta="Svenska",_xlfn.IFNA(VLOOKUP($B251,Data!$A$2:$C$612,3,FALSE),0))))</f>
        <v/>
      </c>
      <c r="F251" s="119"/>
      <c r="G251" s="119"/>
      <c r="H251" s="119"/>
      <c r="I251" s="119"/>
      <c r="J251" s="119"/>
      <c r="Q251" s="122"/>
      <c r="R251" s="119"/>
      <c r="S251" s="119"/>
      <c r="T251" s="119"/>
      <c r="U251" s="119"/>
      <c r="V251" s="119"/>
      <c r="W251" s="119"/>
    </row>
    <row r="252" spans="1:23" x14ac:dyDescent="0.2">
      <c r="A252" s="122" t="s">
        <v>299</v>
      </c>
      <c r="B252" s="122" t="s">
        <v>817</v>
      </c>
      <c r="C252" s="115"/>
      <c r="D252" s="123" t="str">
        <f>IF(Kielivalinta="","",IF(Kielivalinta="Suomi",_xlfn.IFNA(VLOOKUP($A252,Data!$A$2:$C$612,2,FALSE),0),IF(Kielivalinta="Svenska",_xlfn.IFNA(VLOOKUP($B252,Data!$A$2:$C$612,2,FALSE),0))))</f>
        <v/>
      </c>
      <c r="E252" s="123" t="str">
        <f>IF(Kielivalinta="","",IF(Kielivalinta="Suomi",_xlfn.IFNA(VLOOKUP($A252,Data!$A$2:$C$612,3,FALSE),0),IF(Kielivalinta="Svenska",_xlfn.IFNA(VLOOKUP($B252,Data!$A$2:$C$612,3,FALSE),0))))</f>
        <v/>
      </c>
      <c r="F252" s="119"/>
      <c r="G252" s="119"/>
      <c r="H252" s="119"/>
      <c r="I252" s="119"/>
      <c r="J252" s="119"/>
      <c r="Q252" s="122"/>
      <c r="R252" s="119"/>
      <c r="S252" s="119"/>
      <c r="T252" s="119"/>
      <c r="U252" s="119"/>
      <c r="V252" s="119"/>
      <c r="W252" s="119"/>
    </row>
    <row r="253" spans="1:23" x14ac:dyDescent="0.2">
      <c r="A253" s="119" t="s">
        <v>300</v>
      </c>
      <c r="B253" s="119" t="s">
        <v>1136</v>
      </c>
      <c r="C253" s="115"/>
      <c r="D253" s="123" t="str">
        <f>IF(Kielivalinta="","",IF(Kielivalinta="Suomi",_xlfn.IFNA(VLOOKUP($A253,Data!$A$2:$C$612,2,FALSE),0),IF(Kielivalinta="Svenska",_xlfn.IFNA(VLOOKUP($B253,Data!$A$2:$C$612,2,FALSE),0))))</f>
        <v/>
      </c>
      <c r="E253" s="123" t="str">
        <f>IF(Kielivalinta="","",IF(Kielivalinta="Suomi",_xlfn.IFNA(VLOOKUP($A253,Data!$A$2:$C$612,3,FALSE),0),IF(Kielivalinta="Svenska",_xlfn.IFNA(VLOOKUP($B253,Data!$A$2:$C$612,3,FALSE),0))))</f>
        <v/>
      </c>
      <c r="F253" s="119"/>
      <c r="G253" s="119"/>
      <c r="H253" s="119"/>
      <c r="I253" s="119"/>
      <c r="J253" s="119"/>
      <c r="Q253" s="119"/>
      <c r="R253" s="119"/>
      <c r="S253" s="119"/>
      <c r="T253" s="119"/>
      <c r="U253" s="119"/>
      <c r="V253" s="119"/>
      <c r="W253" s="119"/>
    </row>
    <row r="254" spans="1:23" x14ac:dyDescent="0.2">
      <c r="A254" s="122" t="s">
        <v>301</v>
      </c>
      <c r="B254" s="122" t="s">
        <v>818</v>
      </c>
      <c r="C254" s="115"/>
      <c r="D254" s="123" t="str">
        <f>IF(Kielivalinta="","",IF(Kielivalinta="Suomi",_xlfn.IFNA(VLOOKUP($A254,Data!$A$2:$C$612,2,FALSE),0),IF(Kielivalinta="Svenska",_xlfn.IFNA(VLOOKUP($B254,Data!$A$2:$C$612,2,FALSE),0))))</f>
        <v/>
      </c>
      <c r="E254" s="123" t="str">
        <f>IF(Kielivalinta="","",IF(Kielivalinta="Suomi",_xlfn.IFNA(VLOOKUP($A254,Data!$A$2:$C$612,3,FALSE),0),IF(Kielivalinta="Svenska",_xlfn.IFNA(VLOOKUP($B254,Data!$A$2:$C$612,3,FALSE),0))))</f>
        <v/>
      </c>
      <c r="F254" s="119"/>
      <c r="G254" s="119"/>
      <c r="H254" s="119"/>
      <c r="I254" s="119"/>
      <c r="J254" s="119"/>
      <c r="Q254" s="122"/>
      <c r="R254" s="119"/>
      <c r="S254" s="119"/>
      <c r="T254" s="119"/>
      <c r="U254" s="119"/>
      <c r="V254" s="119"/>
      <c r="W254" s="119"/>
    </row>
    <row r="255" spans="1:23" x14ac:dyDescent="0.2">
      <c r="A255" s="122" t="s">
        <v>302</v>
      </c>
      <c r="B255" s="122" t="s">
        <v>819</v>
      </c>
      <c r="C255" s="115"/>
      <c r="D255" s="123" t="str">
        <f>IF(Kielivalinta="","",IF(Kielivalinta="Suomi",_xlfn.IFNA(VLOOKUP($A255,Data!$A$2:$C$612,2,FALSE),0),IF(Kielivalinta="Svenska",_xlfn.IFNA(VLOOKUP($B255,Data!$A$2:$C$612,2,FALSE),0))))</f>
        <v/>
      </c>
      <c r="E255" s="123" t="str">
        <f>IF(Kielivalinta="","",IF(Kielivalinta="Suomi",_xlfn.IFNA(VLOOKUP($A255,Data!$A$2:$C$612,3,FALSE),0),IF(Kielivalinta="Svenska",_xlfn.IFNA(VLOOKUP($B255,Data!$A$2:$C$612,3,FALSE),0))))</f>
        <v/>
      </c>
      <c r="F255" s="119"/>
      <c r="G255" s="119"/>
      <c r="H255" s="119"/>
      <c r="I255" s="119"/>
      <c r="J255" s="119"/>
      <c r="Q255" s="122"/>
      <c r="R255" s="119"/>
      <c r="S255" s="119"/>
      <c r="T255" s="119"/>
      <c r="U255" s="119"/>
      <c r="V255" s="119"/>
      <c r="W255" s="119"/>
    </row>
    <row r="256" spans="1:23" x14ac:dyDescent="0.2">
      <c r="A256" s="122" t="s">
        <v>303</v>
      </c>
      <c r="B256" s="122" t="s">
        <v>820</v>
      </c>
      <c r="C256" s="115"/>
      <c r="D256" s="123" t="str">
        <f>IF(Kielivalinta="","",IF(Kielivalinta="Suomi",_xlfn.IFNA(VLOOKUP($A256,Data!$A$2:$C$612,2,FALSE),0),IF(Kielivalinta="Svenska",_xlfn.IFNA(VLOOKUP($B256,Data!$A$2:$C$612,2,FALSE),0))))</f>
        <v/>
      </c>
      <c r="E256" s="123" t="str">
        <f>IF(Kielivalinta="","",IF(Kielivalinta="Suomi",_xlfn.IFNA(VLOOKUP($A256,Data!$A$2:$C$612,3,FALSE),0),IF(Kielivalinta="Svenska",_xlfn.IFNA(VLOOKUP($B256,Data!$A$2:$C$612,3,FALSE),0))))</f>
        <v/>
      </c>
      <c r="F256" s="119"/>
      <c r="G256" s="119"/>
      <c r="H256" s="119"/>
      <c r="I256" s="119"/>
      <c r="J256" s="119"/>
      <c r="Q256" s="122"/>
      <c r="R256" s="119"/>
      <c r="S256" s="119"/>
      <c r="T256" s="119"/>
      <c r="U256" s="119"/>
      <c r="V256" s="119"/>
      <c r="W256" s="119"/>
    </row>
    <row r="257" spans="1:23" x14ac:dyDescent="0.2">
      <c r="A257" s="122" t="s">
        <v>304</v>
      </c>
      <c r="B257" s="122" t="s">
        <v>821</v>
      </c>
      <c r="C257" s="115"/>
      <c r="D257" s="123" t="str">
        <f>IF(Kielivalinta="","",IF(Kielivalinta="Suomi",_xlfn.IFNA(VLOOKUP($A257,Data!$A$2:$C$612,2,FALSE),0),IF(Kielivalinta="Svenska",_xlfn.IFNA(VLOOKUP($B257,Data!$A$2:$C$612,2,FALSE),0))))</f>
        <v/>
      </c>
      <c r="E257" s="123" t="str">
        <f>IF(Kielivalinta="","",IF(Kielivalinta="Suomi",_xlfn.IFNA(VLOOKUP($A257,Data!$A$2:$C$612,3,FALSE),0),IF(Kielivalinta="Svenska",_xlfn.IFNA(VLOOKUP($B257,Data!$A$2:$C$612,3,FALSE),0))))</f>
        <v/>
      </c>
      <c r="F257" s="119"/>
      <c r="G257" s="119"/>
      <c r="H257" s="119"/>
      <c r="I257" s="119"/>
      <c r="J257" s="119"/>
      <c r="Q257" s="122"/>
      <c r="R257" s="119"/>
      <c r="S257" s="119"/>
      <c r="T257" s="119"/>
      <c r="U257" s="119"/>
      <c r="V257" s="119"/>
      <c r="W257" s="119"/>
    </row>
    <row r="258" spans="1:23" x14ac:dyDescent="0.2">
      <c r="A258" s="122" t="s">
        <v>305</v>
      </c>
      <c r="B258" s="122" t="s">
        <v>822</v>
      </c>
      <c r="C258" s="115"/>
      <c r="D258" s="123" t="str">
        <f>IF(Kielivalinta="","",IF(Kielivalinta="Suomi",_xlfn.IFNA(VLOOKUP($A258,Data!$A$2:$C$612,2,FALSE),0),IF(Kielivalinta="Svenska",_xlfn.IFNA(VLOOKUP($B258,Data!$A$2:$C$612,2,FALSE),0))))</f>
        <v/>
      </c>
      <c r="E258" s="123" t="str">
        <f>IF(Kielivalinta="","",IF(Kielivalinta="Suomi",_xlfn.IFNA(VLOOKUP($A258,Data!$A$2:$C$612,3,FALSE),0),IF(Kielivalinta="Svenska",_xlfn.IFNA(VLOOKUP($B258,Data!$A$2:$C$612,3,FALSE),0))))</f>
        <v/>
      </c>
      <c r="F258" s="119"/>
      <c r="G258" s="119"/>
      <c r="H258" s="119"/>
      <c r="I258" s="119"/>
      <c r="J258" s="119"/>
      <c r="Q258" s="122"/>
      <c r="R258" s="119"/>
      <c r="S258" s="119"/>
      <c r="T258" s="119"/>
      <c r="U258" s="119"/>
      <c r="V258" s="119"/>
      <c r="W258" s="119"/>
    </row>
    <row r="259" spans="1:23" x14ac:dyDescent="0.2">
      <c r="A259" s="122" t="s">
        <v>306</v>
      </c>
      <c r="B259" s="122" t="s">
        <v>823</v>
      </c>
      <c r="C259" s="115"/>
      <c r="D259" s="123" t="str">
        <f>IF(Kielivalinta="","",IF(Kielivalinta="Suomi",_xlfn.IFNA(VLOOKUP($A259,Data!$A$2:$C$612,2,FALSE),0),IF(Kielivalinta="Svenska",_xlfn.IFNA(VLOOKUP($B259,Data!$A$2:$C$612,2,FALSE),0))))</f>
        <v/>
      </c>
      <c r="E259" s="123" t="str">
        <f>IF(Kielivalinta="","",IF(Kielivalinta="Suomi",_xlfn.IFNA(VLOOKUP($A259,Data!$A$2:$C$612,3,FALSE),0),IF(Kielivalinta="Svenska",_xlfn.IFNA(VLOOKUP($B259,Data!$A$2:$C$612,3,FALSE),0))))</f>
        <v/>
      </c>
      <c r="F259" s="119"/>
      <c r="G259" s="119"/>
      <c r="H259" s="119"/>
      <c r="I259" s="119"/>
      <c r="J259" s="119"/>
      <c r="Q259" s="122"/>
      <c r="R259" s="119"/>
      <c r="S259" s="119"/>
      <c r="T259" s="119"/>
      <c r="U259" s="119"/>
      <c r="V259" s="119"/>
      <c r="W259" s="119"/>
    </row>
    <row r="260" spans="1:23" x14ac:dyDescent="0.2">
      <c r="A260" s="119" t="s">
        <v>307</v>
      </c>
      <c r="B260" s="119" t="s">
        <v>1137</v>
      </c>
      <c r="C260" s="115"/>
      <c r="D260" s="123" t="str">
        <f>IF(Kielivalinta="","",IF(Kielivalinta="Suomi",_xlfn.IFNA(VLOOKUP($A260,Data!$A$2:$C$612,2,FALSE),0),IF(Kielivalinta="Svenska",_xlfn.IFNA(VLOOKUP($B260,Data!$A$2:$C$612,2,FALSE),0))))</f>
        <v/>
      </c>
      <c r="E260" s="123" t="str">
        <f>IF(Kielivalinta="","",IF(Kielivalinta="Suomi",_xlfn.IFNA(VLOOKUP($A260,Data!$A$2:$C$612,3,FALSE),0),IF(Kielivalinta="Svenska",_xlfn.IFNA(VLOOKUP($B260,Data!$A$2:$C$612,3,FALSE),0))))</f>
        <v/>
      </c>
      <c r="F260" s="119"/>
      <c r="G260" s="119"/>
      <c r="H260" s="119"/>
      <c r="I260" s="119"/>
      <c r="J260" s="119"/>
      <c r="Q260" s="119"/>
      <c r="R260" s="119"/>
      <c r="S260" s="119"/>
      <c r="T260" s="119"/>
      <c r="U260" s="119"/>
      <c r="V260" s="119"/>
      <c r="W260" s="119"/>
    </row>
    <row r="261" spans="1:23" x14ac:dyDescent="0.2">
      <c r="A261" s="122" t="s">
        <v>308</v>
      </c>
      <c r="B261" s="122" t="s">
        <v>824</v>
      </c>
      <c r="C261" s="115"/>
      <c r="D261" s="123" t="str">
        <f>IF(Kielivalinta="","",IF(Kielivalinta="Suomi",_xlfn.IFNA(VLOOKUP($A261,Data!$A$2:$C$612,2,FALSE),0),IF(Kielivalinta="Svenska",_xlfn.IFNA(VLOOKUP($B261,Data!$A$2:$C$612,2,FALSE),0))))</f>
        <v/>
      </c>
      <c r="E261" s="123" t="str">
        <f>IF(Kielivalinta="","",IF(Kielivalinta="Suomi",_xlfn.IFNA(VLOOKUP($A261,Data!$A$2:$C$612,3,FALSE),0),IF(Kielivalinta="Svenska",_xlfn.IFNA(VLOOKUP($B261,Data!$A$2:$C$612,3,FALSE),0))))</f>
        <v/>
      </c>
      <c r="F261" s="119"/>
      <c r="G261" s="119"/>
      <c r="H261" s="119"/>
      <c r="I261" s="119"/>
      <c r="J261" s="119"/>
      <c r="Q261" s="122"/>
      <c r="R261" s="119"/>
      <c r="S261" s="119"/>
      <c r="T261" s="119"/>
      <c r="U261" s="119"/>
      <c r="V261" s="119"/>
      <c r="W261" s="119"/>
    </row>
    <row r="262" spans="1:23" x14ac:dyDescent="0.2">
      <c r="A262" s="122" t="s">
        <v>309</v>
      </c>
      <c r="B262" s="122" t="s">
        <v>825</v>
      </c>
      <c r="C262" s="115"/>
      <c r="D262" s="123" t="str">
        <f>IF(Kielivalinta="","",IF(Kielivalinta="Suomi",_xlfn.IFNA(VLOOKUP($A262,Data!$A$2:$C$612,2,FALSE),0),IF(Kielivalinta="Svenska",_xlfn.IFNA(VLOOKUP($B262,Data!$A$2:$C$612,2,FALSE),0))))</f>
        <v/>
      </c>
      <c r="E262" s="123" t="str">
        <f>IF(Kielivalinta="","",IF(Kielivalinta="Suomi",_xlfn.IFNA(VLOOKUP($A262,Data!$A$2:$C$612,3,FALSE),0),IF(Kielivalinta="Svenska",_xlfn.IFNA(VLOOKUP($B262,Data!$A$2:$C$612,3,FALSE),0))))</f>
        <v/>
      </c>
      <c r="F262" s="119"/>
      <c r="G262" s="119"/>
      <c r="H262" s="119"/>
      <c r="I262" s="119"/>
      <c r="J262" s="119"/>
      <c r="Q262" s="122"/>
      <c r="R262" s="119"/>
      <c r="S262" s="119"/>
      <c r="T262" s="119"/>
      <c r="U262" s="119"/>
      <c r="V262" s="119"/>
      <c r="W262" s="119"/>
    </row>
    <row r="263" spans="1:23" x14ac:dyDescent="0.2">
      <c r="A263" s="122" t="s">
        <v>310</v>
      </c>
      <c r="B263" s="122" t="s">
        <v>826</v>
      </c>
      <c r="C263" s="115"/>
      <c r="D263" s="123" t="str">
        <f>IF(Kielivalinta="","",IF(Kielivalinta="Suomi",_xlfn.IFNA(VLOOKUP($A263,Data!$A$2:$C$612,2,FALSE),0),IF(Kielivalinta="Svenska",_xlfn.IFNA(VLOOKUP($B263,Data!$A$2:$C$612,2,FALSE),0))))</f>
        <v/>
      </c>
      <c r="E263" s="123" t="str">
        <f>IF(Kielivalinta="","",IF(Kielivalinta="Suomi",_xlfn.IFNA(VLOOKUP($A263,Data!$A$2:$C$612,3,FALSE),0),IF(Kielivalinta="Svenska",_xlfn.IFNA(VLOOKUP($B263,Data!$A$2:$C$612,3,FALSE),0))))</f>
        <v/>
      </c>
      <c r="F263" s="119"/>
      <c r="G263" s="119"/>
      <c r="H263" s="119"/>
      <c r="I263" s="119"/>
      <c r="J263" s="119"/>
      <c r="Q263" s="122"/>
      <c r="R263" s="119"/>
      <c r="S263" s="119"/>
      <c r="T263" s="119"/>
      <c r="U263" s="119"/>
      <c r="V263" s="119"/>
      <c r="W263" s="119"/>
    </row>
    <row r="264" spans="1:23" x14ac:dyDescent="0.2">
      <c r="A264" s="122" t="s">
        <v>311</v>
      </c>
      <c r="B264" s="122" t="s">
        <v>827</v>
      </c>
      <c r="C264" s="115"/>
      <c r="D264" s="123" t="str">
        <f>IF(Kielivalinta="","",IF(Kielivalinta="Suomi",_xlfn.IFNA(VLOOKUP($A264,Data!$A$2:$C$612,2,FALSE),0),IF(Kielivalinta="Svenska",_xlfn.IFNA(VLOOKUP($B264,Data!$A$2:$C$612,2,FALSE),0))))</f>
        <v/>
      </c>
      <c r="E264" s="123" t="str">
        <f>IF(Kielivalinta="","",IF(Kielivalinta="Suomi",_xlfn.IFNA(VLOOKUP($A264,Data!$A$2:$C$612,3,FALSE),0),IF(Kielivalinta="Svenska",_xlfn.IFNA(VLOOKUP($B264,Data!$A$2:$C$612,3,FALSE),0))))</f>
        <v/>
      </c>
      <c r="F264" s="119"/>
      <c r="G264" s="119"/>
      <c r="H264" s="119"/>
      <c r="I264" s="119"/>
      <c r="J264" s="119"/>
      <c r="Q264" s="122"/>
      <c r="R264" s="119"/>
      <c r="S264" s="119"/>
      <c r="T264" s="119"/>
      <c r="U264" s="119"/>
      <c r="V264" s="119"/>
      <c r="W264" s="119"/>
    </row>
    <row r="265" spans="1:23" x14ac:dyDescent="0.2">
      <c r="A265" s="122" t="s">
        <v>312</v>
      </c>
      <c r="B265" s="122" t="s">
        <v>828</v>
      </c>
      <c r="C265" s="115"/>
      <c r="D265" s="123" t="str">
        <f>IF(Kielivalinta="","",IF(Kielivalinta="Suomi",_xlfn.IFNA(VLOOKUP($A265,Data!$A$2:$C$612,2,FALSE),0),IF(Kielivalinta="Svenska",_xlfn.IFNA(VLOOKUP($B265,Data!$A$2:$C$612,2,FALSE),0))))</f>
        <v/>
      </c>
      <c r="E265" s="123" t="str">
        <f>IF(Kielivalinta="","",IF(Kielivalinta="Suomi",_xlfn.IFNA(VLOOKUP($A265,Data!$A$2:$C$612,3,FALSE),0),IF(Kielivalinta="Svenska",_xlfn.IFNA(VLOOKUP($B265,Data!$A$2:$C$612,3,FALSE),0))))</f>
        <v/>
      </c>
      <c r="F265" s="119"/>
      <c r="G265" s="119"/>
      <c r="H265" s="119"/>
      <c r="I265" s="119"/>
      <c r="J265" s="119"/>
      <c r="Q265" s="122"/>
      <c r="R265" s="119"/>
      <c r="S265" s="119"/>
      <c r="T265" s="119"/>
      <c r="U265" s="119"/>
      <c r="V265" s="119"/>
      <c r="W265" s="119"/>
    </row>
    <row r="266" spans="1:23" x14ac:dyDescent="0.2">
      <c r="A266" s="122" t="s">
        <v>313</v>
      </c>
      <c r="B266" s="122" t="s">
        <v>829</v>
      </c>
      <c r="C266" s="115"/>
      <c r="D266" s="123" t="str">
        <f>IF(Kielivalinta="","",IF(Kielivalinta="Suomi",_xlfn.IFNA(VLOOKUP($A266,Data!$A$2:$C$612,2,FALSE),0),IF(Kielivalinta="Svenska",_xlfn.IFNA(VLOOKUP($B266,Data!$A$2:$C$612,2,FALSE),0))))</f>
        <v/>
      </c>
      <c r="E266" s="123" t="str">
        <f>IF(Kielivalinta="","",IF(Kielivalinta="Suomi",_xlfn.IFNA(VLOOKUP($A266,Data!$A$2:$C$612,3,FALSE),0),IF(Kielivalinta="Svenska",_xlfn.IFNA(VLOOKUP($B266,Data!$A$2:$C$612,3,FALSE),0))))</f>
        <v/>
      </c>
      <c r="F266" s="119"/>
      <c r="G266" s="119"/>
      <c r="H266" s="119"/>
      <c r="I266" s="119"/>
      <c r="J266" s="119"/>
      <c r="Q266" s="122"/>
      <c r="R266" s="119"/>
      <c r="S266" s="119"/>
      <c r="T266" s="119"/>
      <c r="U266" s="119"/>
      <c r="V266" s="119"/>
      <c r="W266" s="119"/>
    </row>
    <row r="267" spans="1:23" x14ac:dyDescent="0.2">
      <c r="A267" s="122" t="s">
        <v>314</v>
      </c>
      <c r="B267" s="122" t="s">
        <v>830</v>
      </c>
      <c r="C267" s="115"/>
      <c r="D267" s="123" t="str">
        <f>IF(Kielivalinta="","",IF(Kielivalinta="Suomi",_xlfn.IFNA(VLOOKUP($A267,Data!$A$2:$C$612,2,FALSE),0),IF(Kielivalinta="Svenska",_xlfn.IFNA(VLOOKUP($B267,Data!$A$2:$C$612,2,FALSE),0))))</f>
        <v/>
      </c>
      <c r="E267" s="123" t="str">
        <f>IF(Kielivalinta="","",IF(Kielivalinta="Suomi",_xlfn.IFNA(VLOOKUP($A267,Data!$A$2:$C$612,3,FALSE),0),IF(Kielivalinta="Svenska",_xlfn.IFNA(VLOOKUP($B267,Data!$A$2:$C$612,3,FALSE),0))))</f>
        <v/>
      </c>
      <c r="F267" s="119"/>
      <c r="G267" s="119"/>
      <c r="H267" s="119"/>
      <c r="I267" s="119"/>
      <c r="J267" s="119"/>
      <c r="Q267" s="122"/>
      <c r="R267" s="119"/>
      <c r="S267" s="119"/>
      <c r="T267" s="119"/>
      <c r="U267" s="119"/>
      <c r="V267" s="119"/>
      <c r="W267" s="119"/>
    </row>
    <row r="268" spans="1:23" x14ac:dyDescent="0.2">
      <c r="A268" s="122" t="s">
        <v>315</v>
      </c>
      <c r="B268" s="122" t="s">
        <v>831</v>
      </c>
      <c r="C268" s="115"/>
      <c r="D268" s="123" t="str">
        <f>IF(Kielivalinta="","",IF(Kielivalinta="Suomi",_xlfn.IFNA(VLOOKUP($A268,Data!$A$2:$C$612,2,FALSE),0),IF(Kielivalinta="Svenska",_xlfn.IFNA(VLOOKUP($B268,Data!$A$2:$C$612,2,FALSE),0))))</f>
        <v/>
      </c>
      <c r="E268" s="123" t="str">
        <f>IF(Kielivalinta="","",IF(Kielivalinta="Suomi",_xlfn.IFNA(VLOOKUP($A268,Data!$A$2:$C$612,3,FALSE),0),IF(Kielivalinta="Svenska",_xlfn.IFNA(VLOOKUP($B268,Data!$A$2:$C$612,3,FALSE),0))))</f>
        <v/>
      </c>
      <c r="F268" s="119"/>
      <c r="G268" s="119"/>
      <c r="H268" s="119"/>
      <c r="I268" s="119"/>
      <c r="J268" s="119"/>
      <c r="Q268" s="122"/>
      <c r="R268" s="119"/>
      <c r="S268" s="119"/>
      <c r="T268" s="119"/>
      <c r="U268" s="119"/>
      <c r="V268" s="119"/>
      <c r="W268" s="119"/>
    </row>
    <row r="269" spans="1:23" x14ac:dyDescent="0.2">
      <c r="A269" s="119" t="s">
        <v>316</v>
      </c>
      <c r="B269" s="119" t="s">
        <v>1138</v>
      </c>
      <c r="C269" s="115"/>
      <c r="D269" s="123" t="str">
        <f>IF(Kielivalinta="","",IF(Kielivalinta="Suomi",_xlfn.IFNA(VLOOKUP($A269,Data!$A$2:$C$612,2,FALSE),0),IF(Kielivalinta="Svenska",_xlfn.IFNA(VLOOKUP($B269,Data!$A$2:$C$612,2,FALSE),0))))</f>
        <v/>
      </c>
      <c r="E269" s="123" t="str">
        <f>IF(Kielivalinta="","",IF(Kielivalinta="Suomi",_xlfn.IFNA(VLOOKUP($A269,Data!$A$2:$C$612,3,FALSE),0),IF(Kielivalinta="Svenska",_xlfn.IFNA(VLOOKUP($B269,Data!$A$2:$C$612,3,FALSE),0))))</f>
        <v/>
      </c>
      <c r="F269" s="119"/>
      <c r="G269" s="119"/>
      <c r="H269" s="119"/>
      <c r="I269" s="119"/>
      <c r="J269" s="119"/>
      <c r="Q269" s="119"/>
      <c r="R269" s="119"/>
      <c r="S269" s="119"/>
      <c r="T269" s="119"/>
      <c r="U269" s="119"/>
      <c r="V269" s="119"/>
      <c r="W269" s="119"/>
    </row>
    <row r="270" spans="1:23" x14ac:dyDescent="0.2">
      <c r="A270" s="122" t="s">
        <v>317</v>
      </c>
      <c r="B270" s="122" t="s">
        <v>832</v>
      </c>
      <c r="C270" s="115"/>
      <c r="D270" s="123" t="str">
        <f>IF(Kielivalinta="","",IF(Kielivalinta="Suomi",_xlfn.IFNA(VLOOKUP($A270,Data!$A$2:$C$612,2,FALSE),0),IF(Kielivalinta="Svenska",_xlfn.IFNA(VLOOKUP($B270,Data!$A$2:$C$612,2,FALSE),0))))</f>
        <v/>
      </c>
      <c r="E270" s="123" t="str">
        <f>IF(Kielivalinta="","",IF(Kielivalinta="Suomi",_xlfn.IFNA(VLOOKUP($A270,Data!$A$2:$C$612,3,FALSE),0),IF(Kielivalinta="Svenska",_xlfn.IFNA(VLOOKUP($B270,Data!$A$2:$C$612,3,FALSE),0))))</f>
        <v/>
      </c>
      <c r="F270" s="119"/>
      <c r="G270" s="119"/>
      <c r="H270" s="119"/>
      <c r="I270" s="119"/>
      <c r="J270" s="119"/>
      <c r="Q270" s="122"/>
      <c r="R270" s="119"/>
      <c r="S270" s="119"/>
      <c r="T270" s="119"/>
      <c r="U270" s="119"/>
      <c r="V270" s="119"/>
      <c r="W270" s="119"/>
    </row>
    <row r="271" spans="1:23" x14ac:dyDescent="0.2">
      <c r="A271" s="122" t="s">
        <v>318</v>
      </c>
      <c r="B271" s="122" t="s">
        <v>833</v>
      </c>
      <c r="C271" s="115"/>
      <c r="D271" s="123" t="str">
        <f>IF(Kielivalinta="","",IF(Kielivalinta="Suomi",_xlfn.IFNA(VLOOKUP($A271,Data!$A$2:$C$612,2,FALSE),0),IF(Kielivalinta="Svenska",_xlfn.IFNA(VLOOKUP($B271,Data!$A$2:$C$612,2,FALSE),0))))</f>
        <v/>
      </c>
      <c r="E271" s="123" t="str">
        <f>IF(Kielivalinta="","",IF(Kielivalinta="Suomi",_xlfn.IFNA(VLOOKUP($A271,Data!$A$2:$C$612,3,FALSE),0),IF(Kielivalinta="Svenska",_xlfn.IFNA(VLOOKUP($B271,Data!$A$2:$C$612,3,FALSE),0))))</f>
        <v/>
      </c>
      <c r="F271" s="119"/>
      <c r="G271" s="119"/>
      <c r="H271" s="119"/>
      <c r="I271" s="119"/>
      <c r="J271" s="119"/>
      <c r="Q271" s="122"/>
      <c r="R271" s="119"/>
      <c r="S271" s="119"/>
      <c r="T271" s="119"/>
      <c r="U271" s="119"/>
      <c r="V271" s="119"/>
      <c r="W271" s="119"/>
    </row>
    <row r="272" spans="1:23" x14ac:dyDescent="0.2">
      <c r="A272" s="122" t="s">
        <v>319</v>
      </c>
      <c r="B272" s="122" t="s">
        <v>834</v>
      </c>
      <c r="C272" s="115"/>
      <c r="D272" s="123" t="str">
        <f>IF(Kielivalinta="","",IF(Kielivalinta="Suomi",_xlfn.IFNA(VLOOKUP($A272,Data!$A$2:$C$612,2,FALSE),0),IF(Kielivalinta="Svenska",_xlfn.IFNA(VLOOKUP($B272,Data!$A$2:$C$612,2,FALSE),0))))</f>
        <v/>
      </c>
      <c r="E272" s="123" t="str">
        <f>IF(Kielivalinta="","",IF(Kielivalinta="Suomi",_xlfn.IFNA(VLOOKUP($A272,Data!$A$2:$C$612,3,FALSE),0),IF(Kielivalinta="Svenska",_xlfn.IFNA(VLOOKUP($B272,Data!$A$2:$C$612,3,FALSE),0))))</f>
        <v/>
      </c>
      <c r="F272" s="119"/>
      <c r="G272" s="119"/>
      <c r="H272" s="119"/>
      <c r="I272" s="119"/>
      <c r="J272" s="119"/>
      <c r="Q272" s="122"/>
      <c r="R272" s="119"/>
      <c r="S272" s="119"/>
      <c r="T272" s="119"/>
      <c r="U272" s="119"/>
      <c r="V272" s="119"/>
      <c r="W272" s="119"/>
    </row>
    <row r="273" spans="1:23" x14ac:dyDescent="0.2">
      <c r="A273" s="122" t="s">
        <v>320</v>
      </c>
      <c r="B273" s="122" t="s">
        <v>835</v>
      </c>
      <c r="C273" s="115"/>
      <c r="D273" s="123" t="str">
        <f>IF(Kielivalinta="","",IF(Kielivalinta="Suomi",_xlfn.IFNA(VLOOKUP($A273,Data!$A$2:$C$612,2,FALSE),0),IF(Kielivalinta="Svenska",_xlfn.IFNA(VLOOKUP($B273,Data!$A$2:$C$612,2,FALSE),0))))</f>
        <v/>
      </c>
      <c r="E273" s="123" t="str">
        <f>IF(Kielivalinta="","",IF(Kielivalinta="Suomi",_xlfn.IFNA(VLOOKUP($A273,Data!$A$2:$C$612,3,FALSE),0),IF(Kielivalinta="Svenska",_xlfn.IFNA(VLOOKUP($B273,Data!$A$2:$C$612,3,FALSE),0))))</f>
        <v/>
      </c>
      <c r="F273" s="119"/>
      <c r="G273" s="119"/>
      <c r="H273" s="119"/>
      <c r="I273" s="119"/>
      <c r="J273" s="119"/>
      <c r="Q273" s="122"/>
      <c r="R273" s="119"/>
      <c r="S273" s="119"/>
      <c r="T273" s="119"/>
      <c r="U273" s="119"/>
      <c r="V273" s="119"/>
      <c r="W273" s="119"/>
    </row>
    <row r="274" spans="1:23" x14ac:dyDescent="0.2">
      <c r="A274" s="119" t="s">
        <v>321</v>
      </c>
      <c r="B274" s="119" t="s">
        <v>1139</v>
      </c>
      <c r="C274" s="115"/>
      <c r="D274" s="123" t="str">
        <f>IF(Kielivalinta="","",IF(Kielivalinta="Suomi",_xlfn.IFNA(VLOOKUP($A274,Data!$A$2:$C$612,2,FALSE),0),IF(Kielivalinta="Svenska",_xlfn.IFNA(VLOOKUP($B274,Data!$A$2:$C$612,2,FALSE),0))))</f>
        <v/>
      </c>
      <c r="E274" s="123" t="str">
        <f>IF(Kielivalinta="","",IF(Kielivalinta="Suomi",_xlfn.IFNA(VLOOKUP($A274,Data!$A$2:$C$612,3,FALSE),0),IF(Kielivalinta="Svenska",_xlfn.IFNA(VLOOKUP($B274,Data!$A$2:$C$612,3,FALSE),0))))</f>
        <v/>
      </c>
      <c r="F274" s="119"/>
      <c r="G274" s="119"/>
      <c r="H274" s="119"/>
      <c r="I274" s="119"/>
      <c r="J274" s="119"/>
      <c r="Q274" s="119"/>
      <c r="R274" s="119"/>
      <c r="S274" s="119"/>
      <c r="T274" s="119"/>
      <c r="U274" s="119"/>
      <c r="V274" s="119"/>
      <c r="W274" s="119"/>
    </row>
    <row r="275" spans="1:23" x14ac:dyDescent="0.2">
      <c r="A275" s="122" t="s">
        <v>322</v>
      </c>
      <c r="B275" s="122" t="s">
        <v>836</v>
      </c>
      <c r="C275" s="115"/>
      <c r="D275" s="123" t="str">
        <f>IF(Kielivalinta="","",IF(Kielivalinta="Suomi",_xlfn.IFNA(VLOOKUP($A275,Data!$A$2:$C$612,2,FALSE),0),IF(Kielivalinta="Svenska",_xlfn.IFNA(VLOOKUP($B275,Data!$A$2:$C$612,2,FALSE),0))))</f>
        <v/>
      </c>
      <c r="E275" s="123" t="str">
        <f>IF(Kielivalinta="","",IF(Kielivalinta="Suomi",_xlfn.IFNA(VLOOKUP($A275,Data!$A$2:$C$612,3,FALSE),0),IF(Kielivalinta="Svenska",_xlfn.IFNA(VLOOKUP($B275,Data!$A$2:$C$612,3,FALSE),0))))</f>
        <v/>
      </c>
      <c r="F275" s="119"/>
      <c r="G275" s="119"/>
      <c r="H275" s="119"/>
      <c r="I275" s="119"/>
      <c r="J275" s="119"/>
      <c r="Q275" s="122"/>
      <c r="R275" s="119"/>
      <c r="S275" s="119"/>
      <c r="T275" s="119"/>
      <c r="U275" s="119"/>
      <c r="V275" s="119"/>
      <c r="W275" s="119"/>
    </row>
    <row r="276" spans="1:23" x14ac:dyDescent="0.2">
      <c r="A276" s="122" t="s">
        <v>625</v>
      </c>
      <c r="B276" s="122" t="s">
        <v>837</v>
      </c>
      <c r="C276" s="115"/>
      <c r="D276" s="123" t="str">
        <f>IF(Kielivalinta="","",IF(Kielivalinta="Suomi",_xlfn.IFNA(VLOOKUP($A276,Data!$A$2:$C$612,2,FALSE),0),IF(Kielivalinta="Svenska",_xlfn.IFNA(VLOOKUP($B276,Data!$A$2:$C$612,2,FALSE),0))))</f>
        <v/>
      </c>
      <c r="E276" s="123" t="str">
        <f>IF(Kielivalinta="","",IF(Kielivalinta="Suomi",_xlfn.IFNA(VLOOKUP($A276,Data!$A$2:$C$612,3,FALSE),0),IF(Kielivalinta="Svenska",_xlfn.IFNA(VLOOKUP($B276,Data!$A$2:$C$612,3,FALSE),0))))</f>
        <v/>
      </c>
      <c r="F276" s="119"/>
      <c r="G276" s="119"/>
      <c r="H276" s="119"/>
      <c r="I276" s="119"/>
      <c r="J276" s="119"/>
      <c r="Q276" s="122"/>
      <c r="R276" s="119"/>
      <c r="S276" s="119"/>
      <c r="T276" s="119"/>
      <c r="U276" s="119"/>
      <c r="V276" s="119"/>
      <c r="W276" s="119"/>
    </row>
    <row r="277" spans="1:23" x14ac:dyDescent="0.2">
      <c r="A277" s="122" t="s">
        <v>323</v>
      </c>
      <c r="B277" s="122" t="s">
        <v>838</v>
      </c>
      <c r="C277" s="115"/>
      <c r="D277" s="123" t="str">
        <f>IF(Kielivalinta="","",IF(Kielivalinta="Suomi",_xlfn.IFNA(VLOOKUP($A277,Data!$A$2:$C$612,2,FALSE),0),IF(Kielivalinta="Svenska",_xlfn.IFNA(VLOOKUP($B277,Data!$A$2:$C$612,2,FALSE),0))))</f>
        <v/>
      </c>
      <c r="E277" s="123" t="str">
        <f>IF(Kielivalinta="","",IF(Kielivalinta="Suomi",_xlfn.IFNA(VLOOKUP($A277,Data!$A$2:$C$612,3,FALSE),0),IF(Kielivalinta="Svenska",_xlfn.IFNA(VLOOKUP($B277,Data!$A$2:$C$612,3,FALSE),0))))</f>
        <v/>
      </c>
      <c r="F277" s="119"/>
      <c r="G277" s="119"/>
      <c r="H277" s="119"/>
      <c r="I277" s="119"/>
      <c r="J277" s="119"/>
      <c r="Q277" s="122"/>
      <c r="R277" s="119"/>
      <c r="S277" s="119"/>
      <c r="T277" s="119"/>
      <c r="U277" s="119"/>
      <c r="V277" s="119"/>
      <c r="W277" s="119"/>
    </row>
    <row r="278" spans="1:23" x14ac:dyDescent="0.2">
      <c r="A278" s="122" t="s">
        <v>324</v>
      </c>
      <c r="B278" s="122" t="s">
        <v>839</v>
      </c>
      <c r="C278" s="115"/>
      <c r="D278" s="123" t="str">
        <f>IF(Kielivalinta="","",IF(Kielivalinta="Suomi",_xlfn.IFNA(VLOOKUP($A278,Data!$A$2:$C$612,2,FALSE),0),IF(Kielivalinta="Svenska",_xlfn.IFNA(VLOOKUP($B278,Data!$A$2:$C$612,2,FALSE),0))))</f>
        <v/>
      </c>
      <c r="E278" s="123" t="str">
        <f>IF(Kielivalinta="","",IF(Kielivalinta="Suomi",_xlfn.IFNA(VLOOKUP($A278,Data!$A$2:$C$612,3,FALSE),0),IF(Kielivalinta="Svenska",_xlfn.IFNA(VLOOKUP($B278,Data!$A$2:$C$612,3,FALSE),0))))</f>
        <v/>
      </c>
      <c r="F278" s="119"/>
      <c r="G278" s="119"/>
      <c r="H278" s="119"/>
      <c r="I278" s="119"/>
      <c r="J278" s="119"/>
      <c r="Q278" s="122"/>
      <c r="R278" s="119"/>
      <c r="S278" s="119"/>
      <c r="T278" s="119"/>
      <c r="U278" s="119"/>
      <c r="V278" s="119"/>
      <c r="W278" s="119"/>
    </row>
    <row r="279" spans="1:23" x14ac:dyDescent="0.2">
      <c r="A279" s="122" t="s">
        <v>325</v>
      </c>
      <c r="B279" s="122" t="s">
        <v>840</v>
      </c>
      <c r="C279" s="115"/>
      <c r="D279" s="123" t="str">
        <f>IF(Kielivalinta="","",IF(Kielivalinta="Suomi",_xlfn.IFNA(VLOOKUP($A279,Data!$A$2:$C$612,2,FALSE),0),IF(Kielivalinta="Svenska",_xlfn.IFNA(VLOOKUP($B279,Data!$A$2:$C$612,2,FALSE),0))))</f>
        <v/>
      </c>
      <c r="E279" s="123" t="str">
        <f>IF(Kielivalinta="","",IF(Kielivalinta="Suomi",_xlfn.IFNA(VLOOKUP($A279,Data!$A$2:$C$612,3,FALSE),0),IF(Kielivalinta="Svenska",_xlfn.IFNA(VLOOKUP($B279,Data!$A$2:$C$612,3,FALSE),0))))</f>
        <v/>
      </c>
      <c r="F279" s="119"/>
      <c r="G279" s="119"/>
      <c r="H279" s="119"/>
      <c r="I279" s="119"/>
      <c r="J279" s="119"/>
      <c r="Q279" s="122"/>
      <c r="R279" s="119"/>
      <c r="S279" s="119"/>
      <c r="T279" s="119"/>
      <c r="U279" s="119"/>
      <c r="V279" s="119"/>
      <c r="W279" s="119"/>
    </row>
    <row r="280" spans="1:23" x14ac:dyDescent="0.2">
      <c r="A280" s="122" t="s">
        <v>626</v>
      </c>
      <c r="B280" s="122" t="s">
        <v>841</v>
      </c>
      <c r="C280" s="115"/>
      <c r="D280" s="123" t="str">
        <f>IF(Kielivalinta="","",IF(Kielivalinta="Suomi",_xlfn.IFNA(VLOOKUP($A280,Data!$A$2:$C$612,2,FALSE),0),IF(Kielivalinta="Svenska",_xlfn.IFNA(VLOOKUP($B280,Data!$A$2:$C$612,2,FALSE),0))))</f>
        <v/>
      </c>
      <c r="E280" s="123" t="str">
        <f>IF(Kielivalinta="","",IF(Kielivalinta="Suomi",_xlfn.IFNA(VLOOKUP($A280,Data!$A$2:$C$612,3,FALSE),0),IF(Kielivalinta="Svenska",_xlfn.IFNA(VLOOKUP($B280,Data!$A$2:$C$612,3,FALSE),0))))</f>
        <v/>
      </c>
      <c r="F280" s="119"/>
      <c r="G280" s="119"/>
      <c r="H280" s="119"/>
      <c r="I280" s="119"/>
      <c r="J280" s="119"/>
      <c r="Q280" s="122"/>
      <c r="R280" s="119"/>
      <c r="S280" s="119"/>
      <c r="T280" s="119"/>
      <c r="U280" s="119"/>
      <c r="V280" s="119"/>
      <c r="W280" s="119"/>
    </row>
    <row r="281" spans="1:23" x14ac:dyDescent="0.2">
      <c r="A281" s="122" t="s">
        <v>326</v>
      </c>
      <c r="B281" s="122" t="s">
        <v>842</v>
      </c>
      <c r="C281" s="115"/>
      <c r="D281" s="123" t="str">
        <f>IF(Kielivalinta="","",IF(Kielivalinta="Suomi",_xlfn.IFNA(VLOOKUP($A281,Data!$A$2:$C$612,2,FALSE),0),IF(Kielivalinta="Svenska",_xlfn.IFNA(VLOOKUP($B281,Data!$A$2:$C$612,2,FALSE),0))))</f>
        <v/>
      </c>
      <c r="E281" s="123" t="str">
        <f>IF(Kielivalinta="","",IF(Kielivalinta="Suomi",_xlfn.IFNA(VLOOKUP($A281,Data!$A$2:$C$612,3,FALSE),0),IF(Kielivalinta="Svenska",_xlfn.IFNA(VLOOKUP($B281,Data!$A$2:$C$612,3,FALSE),0))))</f>
        <v/>
      </c>
      <c r="F281" s="119"/>
      <c r="G281" s="119"/>
      <c r="H281" s="119"/>
      <c r="I281" s="119"/>
      <c r="J281" s="119"/>
      <c r="Q281" s="122"/>
      <c r="R281" s="119"/>
      <c r="S281" s="119"/>
      <c r="T281" s="119"/>
      <c r="U281" s="119"/>
      <c r="V281" s="119"/>
      <c r="W281" s="119"/>
    </row>
    <row r="282" spans="1:23" x14ac:dyDescent="0.2">
      <c r="A282" s="122" t="s">
        <v>627</v>
      </c>
      <c r="B282" s="122" t="s">
        <v>843</v>
      </c>
      <c r="C282" s="115"/>
      <c r="D282" s="123" t="str">
        <f>IF(Kielivalinta="","",IF(Kielivalinta="Suomi",_xlfn.IFNA(VLOOKUP($A282,Data!$A$2:$C$612,2,FALSE),0),IF(Kielivalinta="Svenska",_xlfn.IFNA(VLOOKUP($B282,Data!$A$2:$C$612,2,FALSE),0))))</f>
        <v/>
      </c>
      <c r="E282" s="123" t="str">
        <f>IF(Kielivalinta="","",IF(Kielivalinta="Suomi",_xlfn.IFNA(VLOOKUP($A282,Data!$A$2:$C$612,3,FALSE),0),IF(Kielivalinta="Svenska",_xlfn.IFNA(VLOOKUP($B282,Data!$A$2:$C$612,3,FALSE),0))))</f>
        <v/>
      </c>
      <c r="F282" s="119"/>
      <c r="G282" s="119"/>
      <c r="H282" s="119"/>
      <c r="I282" s="119"/>
      <c r="J282" s="119"/>
      <c r="Q282" s="122"/>
      <c r="R282" s="119"/>
      <c r="S282" s="119"/>
      <c r="T282" s="119"/>
      <c r="U282" s="119"/>
      <c r="V282" s="119"/>
      <c r="W282" s="119"/>
    </row>
    <row r="283" spans="1:23" x14ac:dyDescent="0.2">
      <c r="A283" s="122" t="s">
        <v>327</v>
      </c>
      <c r="B283" s="122" t="s">
        <v>844</v>
      </c>
      <c r="C283" s="115"/>
      <c r="D283" s="123" t="str">
        <f>IF(Kielivalinta="","",IF(Kielivalinta="Suomi",_xlfn.IFNA(VLOOKUP($A283,Data!$A$2:$C$612,2,FALSE),0),IF(Kielivalinta="Svenska",_xlfn.IFNA(VLOOKUP($B283,Data!$A$2:$C$612,2,FALSE),0))))</f>
        <v/>
      </c>
      <c r="E283" s="123" t="str">
        <f>IF(Kielivalinta="","",IF(Kielivalinta="Suomi",_xlfn.IFNA(VLOOKUP($A283,Data!$A$2:$C$612,3,FALSE),0),IF(Kielivalinta="Svenska",_xlfn.IFNA(VLOOKUP($B283,Data!$A$2:$C$612,3,FALSE),0))))</f>
        <v/>
      </c>
      <c r="F283" s="119"/>
      <c r="G283" s="119"/>
      <c r="H283" s="119"/>
      <c r="I283" s="119"/>
      <c r="J283" s="119"/>
      <c r="Q283" s="122"/>
      <c r="R283" s="119"/>
      <c r="S283" s="119"/>
      <c r="T283" s="119"/>
      <c r="U283" s="119"/>
      <c r="V283" s="119"/>
      <c r="W283" s="119"/>
    </row>
    <row r="284" spans="1:23" x14ac:dyDescent="0.2">
      <c r="A284" s="122" t="s">
        <v>628</v>
      </c>
      <c r="B284" s="122" t="s">
        <v>845</v>
      </c>
      <c r="C284" s="115"/>
      <c r="D284" s="123" t="str">
        <f>IF(Kielivalinta="","",IF(Kielivalinta="Suomi",_xlfn.IFNA(VLOOKUP($A284,Data!$A$2:$C$612,2,FALSE),0),IF(Kielivalinta="Svenska",_xlfn.IFNA(VLOOKUP($B284,Data!$A$2:$C$612,2,FALSE),0))))</f>
        <v/>
      </c>
      <c r="E284" s="123" t="str">
        <f>IF(Kielivalinta="","",IF(Kielivalinta="Suomi",_xlfn.IFNA(VLOOKUP($A284,Data!$A$2:$C$612,3,FALSE),0),IF(Kielivalinta="Svenska",_xlfn.IFNA(VLOOKUP($B284,Data!$A$2:$C$612,3,FALSE),0))))</f>
        <v/>
      </c>
      <c r="F284" s="119"/>
      <c r="G284" s="119"/>
      <c r="H284" s="119"/>
      <c r="I284" s="119"/>
      <c r="J284" s="119"/>
      <c r="Q284" s="122"/>
      <c r="R284" s="119"/>
      <c r="S284" s="119"/>
      <c r="T284" s="119"/>
      <c r="U284" s="119"/>
      <c r="V284" s="119"/>
      <c r="W284" s="119"/>
    </row>
    <row r="285" spans="1:23" x14ac:dyDescent="0.2">
      <c r="A285" s="122" t="s">
        <v>328</v>
      </c>
      <c r="B285" s="122" t="s">
        <v>846</v>
      </c>
      <c r="C285" s="115"/>
      <c r="D285" s="123" t="str">
        <f>IF(Kielivalinta="","",IF(Kielivalinta="Suomi",_xlfn.IFNA(VLOOKUP($A285,Data!$A$2:$C$612,2,FALSE),0),IF(Kielivalinta="Svenska",_xlfn.IFNA(VLOOKUP($B285,Data!$A$2:$C$612,2,FALSE),0))))</f>
        <v/>
      </c>
      <c r="E285" s="123" t="str">
        <f>IF(Kielivalinta="","",IF(Kielivalinta="Suomi",_xlfn.IFNA(VLOOKUP($A285,Data!$A$2:$C$612,3,FALSE),0),IF(Kielivalinta="Svenska",_xlfn.IFNA(VLOOKUP($B285,Data!$A$2:$C$612,3,FALSE),0))))</f>
        <v/>
      </c>
      <c r="F285" s="119"/>
      <c r="G285" s="119"/>
      <c r="H285" s="119"/>
      <c r="I285" s="119"/>
      <c r="J285" s="119"/>
      <c r="Q285" s="122"/>
      <c r="R285" s="119"/>
      <c r="S285" s="119"/>
      <c r="T285" s="119"/>
      <c r="U285" s="119"/>
      <c r="V285" s="119"/>
      <c r="W285" s="119"/>
    </row>
    <row r="286" spans="1:23" x14ac:dyDescent="0.2">
      <c r="A286" s="122" t="s">
        <v>629</v>
      </c>
      <c r="B286" s="122" t="s">
        <v>847</v>
      </c>
      <c r="C286" s="115"/>
      <c r="D286" s="123" t="str">
        <f>IF(Kielivalinta="","",IF(Kielivalinta="Suomi",_xlfn.IFNA(VLOOKUP($A286,Data!$A$2:$C$612,2,FALSE),0),IF(Kielivalinta="Svenska",_xlfn.IFNA(VLOOKUP($B286,Data!$A$2:$C$612,2,FALSE),0))))</f>
        <v/>
      </c>
      <c r="E286" s="123" t="str">
        <f>IF(Kielivalinta="","",IF(Kielivalinta="Suomi",_xlfn.IFNA(VLOOKUP($A286,Data!$A$2:$C$612,3,FALSE),0),IF(Kielivalinta="Svenska",_xlfn.IFNA(VLOOKUP($B286,Data!$A$2:$C$612,3,FALSE),0))))</f>
        <v/>
      </c>
      <c r="F286" s="119"/>
      <c r="G286" s="119"/>
      <c r="H286" s="119"/>
      <c r="I286" s="119"/>
      <c r="J286" s="119"/>
      <c r="Q286" s="122"/>
      <c r="R286" s="119"/>
      <c r="S286" s="119"/>
      <c r="T286" s="119"/>
      <c r="U286" s="119"/>
      <c r="V286" s="119"/>
      <c r="W286" s="119"/>
    </row>
    <row r="287" spans="1:23" x14ac:dyDescent="0.2">
      <c r="A287" s="122" t="s">
        <v>329</v>
      </c>
      <c r="B287" s="122" t="s">
        <v>848</v>
      </c>
      <c r="C287" s="115"/>
      <c r="D287" s="123" t="str">
        <f>IF(Kielivalinta="","",IF(Kielivalinta="Suomi",_xlfn.IFNA(VLOOKUP($A287,Data!$A$2:$C$612,2,FALSE),0),IF(Kielivalinta="Svenska",_xlfn.IFNA(VLOOKUP($B287,Data!$A$2:$C$612,2,FALSE),0))))</f>
        <v/>
      </c>
      <c r="E287" s="123" t="str">
        <f>IF(Kielivalinta="","",IF(Kielivalinta="Suomi",_xlfn.IFNA(VLOOKUP($A287,Data!$A$2:$C$612,3,FALSE),0),IF(Kielivalinta="Svenska",_xlfn.IFNA(VLOOKUP($B287,Data!$A$2:$C$612,3,FALSE),0))))</f>
        <v/>
      </c>
      <c r="F287" s="119"/>
      <c r="G287" s="119"/>
      <c r="H287" s="119"/>
      <c r="I287" s="119"/>
      <c r="J287" s="119"/>
      <c r="Q287" s="122"/>
      <c r="R287" s="119"/>
      <c r="S287" s="119"/>
      <c r="T287" s="119"/>
      <c r="U287" s="119"/>
      <c r="V287" s="119"/>
      <c r="W287" s="119"/>
    </row>
    <row r="288" spans="1:23" x14ac:dyDescent="0.2">
      <c r="A288" s="122" t="s">
        <v>330</v>
      </c>
      <c r="B288" s="122" t="s">
        <v>849</v>
      </c>
      <c r="C288" s="115"/>
      <c r="D288" s="123" t="str">
        <f>IF(Kielivalinta="","",IF(Kielivalinta="Suomi",_xlfn.IFNA(VLOOKUP($A288,Data!$A$2:$C$612,2,FALSE),0),IF(Kielivalinta="Svenska",_xlfn.IFNA(VLOOKUP($B288,Data!$A$2:$C$612,2,FALSE),0))))</f>
        <v/>
      </c>
      <c r="E288" s="123" t="str">
        <f>IF(Kielivalinta="","",IF(Kielivalinta="Suomi",_xlfn.IFNA(VLOOKUP($A288,Data!$A$2:$C$612,3,FALSE),0),IF(Kielivalinta="Svenska",_xlfn.IFNA(VLOOKUP($B288,Data!$A$2:$C$612,3,FALSE),0))))</f>
        <v/>
      </c>
      <c r="F288" s="119"/>
      <c r="G288" s="119"/>
      <c r="H288" s="119"/>
      <c r="I288" s="119"/>
      <c r="J288" s="119"/>
      <c r="Q288" s="122"/>
      <c r="R288" s="119"/>
      <c r="S288" s="119"/>
      <c r="T288" s="119"/>
      <c r="U288" s="119"/>
      <c r="V288" s="119"/>
      <c r="W288" s="119"/>
    </row>
    <row r="289" spans="1:23" x14ac:dyDescent="0.2">
      <c r="A289" s="122" t="s">
        <v>630</v>
      </c>
      <c r="B289" s="122" t="s">
        <v>850</v>
      </c>
      <c r="C289" s="115"/>
      <c r="D289" s="123" t="str">
        <f>IF(Kielivalinta="","",IF(Kielivalinta="Suomi",_xlfn.IFNA(VLOOKUP($A289,Data!$A$2:$C$612,2,FALSE),0),IF(Kielivalinta="Svenska",_xlfn.IFNA(VLOOKUP($B289,Data!$A$2:$C$612,2,FALSE),0))))</f>
        <v/>
      </c>
      <c r="E289" s="123" t="str">
        <f>IF(Kielivalinta="","",IF(Kielivalinta="Suomi",_xlfn.IFNA(VLOOKUP($A289,Data!$A$2:$C$612,3,FALSE),0),IF(Kielivalinta="Svenska",_xlfn.IFNA(VLOOKUP($B289,Data!$A$2:$C$612,3,FALSE),0))))</f>
        <v/>
      </c>
      <c r="F289" s="119"/>
      <c r="G289" s="119"/>
      <c r="H289" s="119"/>
      <c r="I289" s="119"/>
      <c r="J289" s="119"/>
      <c r="Q289" s="122"/>
      <c r="R289" s="119"/>
      <c r="S289" s="119"/>
      <c r="T289" s="119"/>
      <c r="U289" s="119"/>
      <c r="V289" s="119"/>
      <c r="W289" s="119"/>
    </row>
    <row r="290" spans="1:23" x14ac:dyDescent="0.2">
      <c r="A290" s="122" t="s">
        <v>331</v>
      </c>
      <c r="B290" s="122" t="s">
        <v>851</v>
      </c>
      <c r="C290" s="115"/>
      <c r="D290" s="123" t="str">
        <f>IF(Kielivalinta="","",IF(Kielivalinta="Suomi",_xlfn.IFNA(VLOOKUP($A290,Data!$A$2:$C$612,2,FALSE),0),IF(Kielivalinta="Svenska",_xlfn.IFNA(VLOOKUP($B290,Data!$A$2:$C$612,2,FALSE),0))))</f>
        <v/>
      </c>
      <c r="E290" s="123" t="str">
        <f>IF(Kielivalinta="","",IF(Kielivalinta="Suomi",_xlfn.IFNA(VLOOKUP($A290,Data!$A$2:$C$612,3,FALSE),0),IF(Kielivalinta="Svenska",_xlfn.IFNA(VLOOKUP($B290,Data!$A$2:$C$612,3,FALSE),0))))</f>
        <v/>
      </c>
      <c r="F290" s="119"/>
      <c r="G290" s="119"/>
      <c r="H290" s="119"/>
      <c r="I290" s="119"/>
      <c r="J290" s="119"/>
      <c r="Q290" s="122"/>
      <c r="R290" s="119"/>
      <c r="S290" s="119"/>
      <c r="T290" s="119"/>
      <c r="U290" s="119"/>
      <c r="V290" s="119"/>
      <c r="W290" s="119"/>
    </row>
    <row r="291" spans="1:23" x14ac:dyDescent="0.2">
      <c r="A291" s="122" t="s">
        <v>332</v>
      </c>
      <c r="B291" s="122" t="s">
        <v>852</v>
      </c>
      <c r="C291" s="115"/>
      <c r="D291" s="123" t="str">
        <f>IF(Kielivalinta="","",IF(Kielivalinta="Suomi",_xlfn.IFNA(VLOOKUP($A291,Data!$A$2:$C$612,2,FALSE),0),IF(Kielivalinta="Svenska",_xlfn.IFNA(VLOOKUP($B291,Data!$A$2:$C$612,2,FALSE),0))))</f>
        <v/>
      </c>
      <c r="E291" s="123" t="str">
        <f>IF(Kielivalinta="","",IF(Kielivalinta="Suomi",_xlfn.IFNA(VLOOKUP($A291,Data!$A$2:$C$612,3,FALSE),0),IF(Kielivalinta="Svenska",_xlfn.IFNA(VLOOKUP($B291,Data!$A$2:$C$612,3,FALSE),0))))</f>
        <v/>
      </c>
      <c r="F291" s="119"/>
      <c r="G291" s="119"/>
      <c r="H291" s="119"/>
      <c r="I291" s="119"/>
      <c r="J291" s="119"/>
      <c r="Q291" s="122"/>
      <c r="R291" s="119"/>
      <c r="S291" s="119"/>
      <c r="T291" s="119"/>
      <c r="U291" s="119"/>
      <c r="V291" s="119"/>
      <c r="W291" s="119"/>
    </row>
    <row r="292" spans="1:23" x14ac:dyDescent="0.2">
      <c r="A292" s="122" t="s">
        <v>631</v>
      </c>
      <c r="B292" s="122" t="s">
        <v>853</v>
      </c>
      <c r="C292" s="115"/>
      <c r="D292" s="123" t="str">
        <f>IF(Kielivalinta="","",IF(Kielivalinta="Suomi",_xlfn.IFNA(VLOOKUP($A292,Data!$A$2:$C$612,2,FALSE),0),IF(Kielivalinta="Svenska",_xlfn.IFNA(VLOOKUP($B292,Data!$A$2:$C$612,2,FALSE),0))))</f>
        <v/>
      </c>
      <c r="E292" s="123" t="str">
        <f>IF(Kielivalinta="","",IF(Kielivalinta="Suomi",_xlfn.IFNA(VLOOKUP($A292,Data!$A$2:$C$612,3,FALSE),0),IF(Kielivalinta="Svenska",_xlfn.IFNA(VLOOKUP($B292,Data!$A$2:$C$612,3,FALSE),0))))</f>
        <v/>
      </c>
      <c r="F292" s="119"/>
      <c r="G292" s="119"/>
      <c r="H292" s="119"/>
      <c r="I292" s="119"/>
      <c r="J292" s="119"/>
      <c r="Q292" s="122"/>
      <c r="R292" s="119"/>
      <c r="S292" s="119"/>
      <c r="T292" s="119"/>
      <c r="U292" s="119"/>
      <c r="V292" s="119"/>
      <c r="W292" s="119"/>
    </row>
    <row r="293" spans="1:23" x14ac:dyDescent="0.2">
      <c r="A293" s="122" t="s">
        <v>333</v>
      </c>
      <c r="B293" s="122" t="s">
        <v>854</v>
      </c>
      <c r="C293" s="115"/>
      <c r="D293" s="123" t="str">
        <f>IF(Kielivalinta="","",IF(Kielivalinta="Suomi",_xlfn.IFNA(VLOOKUP($A293,Data!$A$2:$C$612,2,FALSE),0),IF(Kielivalinta="Svenska",_xlfn.IFNA(VLOOKUP($B293,Data!$A$2:$C$612,2,FALSE),0))))</f>
        <v/>
      </c>
      <c r="E293" s="123" t="str">
        <f>IF(Kielivalinta="","",IF(Kielivalinta="Suomi",_xlfn.IFNA(VLOOKUP($A293,Data!$A$2:$C$612,3,FALSE),0),IF(Kielivalinta="Svenska",_xlfn.IFNA(VLOOKUP($B293,Data!$A$2:$C$612,3,FALSE),0))))</f>
        <v/>
      </c>
      <c r="F293" s="119"/>
      <c r="G293" s="119"/>
      <c r="H293" s="119"/>
      <c r="I293" s="119"/>
      <c r="J293" s="119"/>
      <c r="Q293" s="122"/>
      <c r="R293" s="119"/>
      <c r="S293" s="119"/>
      <c r="T293" s="119"/>
      <c r="U293" s="119"/>
      <c r="V293" s="119"/>
      <c r="W293" s="119"/>
    </row>
    <row r="294" spans="1:23" x14ac:dyDescent="0.2">
      <c r="A294" s="122" t="s">
        <v>334</v>
      </c>
      <c r="B294" s="122" t="s">
        <v>855</v>
      </c>
      <c r="C294" s="115"/>
      <c r="D294" s="123" t="str">
        <f>IF(Kielivalinta="","",IF(Kielivalinta="Suomi",_xlfn.IFNA(VLOOKUP($A294,Data!$A$2:$C$612,2,FALSE),0),IF(Kielivalinta="Svenska",_xlfn.IFNA(VLOOKUP($B294,Data!$A$2:$C$612,2,FALSE),0))))</f>
        <v/>
      </c>
      <c r="E294" s="123" t="str">
        <f>IF(Kielivalinta="","",IF(Kielivalinta="Suomi",_xlfn.IFNA(VLOOKUP($A294,Data!$A$2:$C$612,3,FALSE),0),IF(Kielivalinta="Svenska",_xlfn.IFNA(VLOOKUP($B294,Data!$A$2:$C$612,3,FALSE),0))))</f>
        <v/>
      </c>
      <c r="F294" s="119"/>
      <c r="G294" s="119"/>
      <c r="H294" s="119"/>
      <c r="I294" s="119"/>
      <c r="J294" s="119"/>
      <c r="Q294" s="122"/>
      <c r="R294" s="119"/>
      <c r="S294" s="119"/>
      <c r="T294" s="119"/>
      <c r="U294" s="119"/>
      <c r="V294" s="119"/>
      <c r="W294" s="119"/>
    </row>
    <row r="295" spans="1:23" x14ac:dyDescent="0.2">
      <c r="A295" s="122" t="s">
        <v>335</v>
      </c>
      <c r="B295" s="122" t="s">
        <v>856</v>
      </c>
      <c r="C295" s="115"/>
      <c r="D295" s="123" t="str">
        <f>IF(Kielivalinta="","",IF(Kielivalinta="Suomi",_xlfn.IFNA(VLOOKUP($A295,Data!$A$2:$C$612,2,FALSE),0),IF(Kielivalinta="Svenska",_xlfn.IFNA(VLOOKUP($B295,Data!$A$2:$C$612,2,FALSE),0))))</f>
        <v/>
      </c>
      <c r="E295" s="123" t="str">
        <f>IF(Kielivalinta="","",IF(Kielivalinta="Suomi",_xlfn.IFNA(VLOOKUP($A295,Data!$A$2:$C$612,3,FALSE),0),IF(Kielivalinta="Svenska",_xlfn.IFNA(VLOOKUP($B295,Data!$A$2:$C$612,3,FALSE),0))))</f>
        <v/>
      </c>
      <c r="F295" s="119"/>
      <c r="G295" s="119"/>
      <c r="H295" s="119"/>
      <c r="I295" s="119"/>
      <c r="J295" s="119"/>
      <c r="Q295" s="122"/>
      <c r="R295" s="119"/>
      <c r="S295" s="119"/>
      <c r="T295" s="119"/>
      <c r="U295" s="119"/>
      <c r="V295" s="119"/>
      <c r="W295" s="119"/>
    </row>
    <row r="296" spans="1:23" x14ac:dyDescent="0.2">
      <c r="A296" s="122" t="s">
        <v>336</v>
      </c>
      <c r="B296" s="122" t="s">
        <v>857</v>
      </c>
      <c r="C296" s="115"/>
      <c r="D296" s="123" t="str">
        <f>IF(Kielivalinta="","",IF(Kielivalinta="Suomi",_xlfn.IFNA(VLOOKUP($A296,Data!$A$2:$C$612,2,FALSE),0),IF(Kielivalinta="Svenska",_xlfn.IFNA(VLOOKUP($B296,Data!$A$2:$C$612,2,FALSE),0))))</f>
        <v/>
      </c>
      <c r="E296" s="123" t="str">
        <f>IF(Kielivalinta="","",IF(Kielivalinta="Suomi",_xlfn.IFNA(VLOOKUP($A296,Data!$A$2:$C$612,3,FALSE),0),IF(Kielivalinta="Svenska",_xlfn.IFNA(VLOOKUP($B296,Data!$A$2:$C$612,3,FALSE),0))))</f>
        <v/>
      </c>
      <c r="F296" s="119"/>
      <c r="G296" s="119"/>
      <c r="H296" s="119"/>
      <c r="I296" s="119"/>
      <c r="J296" s="119"/>
      <c r="Q296" s="122"/>
      <c r="R296" s="119"/>
      <c r="S296" s="119"/>
      <c r="T296" s="119"/>
      <c r="U296" s="119"/>
      <c r="V296" s="119"/>
      <c r="W296" s="119"/>
    </row>
    <row r="297" spans="1:23" x14ac:dyDescent="0.2">
      <c r="A297" s="122" t="s">
        <v>337</v>
      </c>
      <c r="B297" s="122" t="s">
        <v>337</v>
      </c>
      <c r="C297" s="115"/>
      <c r="D297" s="123" t="str">
        <f>IF(Kielivalinta="","",IF(Kielivalinta="Suomi",_xlfn.IFNA(VLOOKUP($A297,Data!$A$2:$C$612,2,FALSE),0),IF(Kielivalinta="Svenska",_xlfn.IFNA(VLOOKUP($B297,Data!$A$2:$C$612,2,FALSE),0))))</f>
        <v/>
      </c>
      <c r="E297" s="123" t="str">
        <f>IF(Kielivalinta="","",IF(Kielivalinta="Suomi",_xlfn.IFNA(VLOOKUP($A297,Data!$A$2:$C$612,3,FALSE),0),IF(Kielivalinta="Svenska",_xlfn.IFNA(VLOOKUP($B297,Data!$A$2:$C$612,3,FALSE),0))))</f>
        <v/>
      </c>
      <c r="F297" s="119"/>
      <c r="G297" s="119"/>
      <c r="H297" s="119"/>
      <c r="I297" s="119"/>
      <c r="J297" s="119"/>
      <c r="Q297" s="122"/>
      <c r="R297" s="119"/>
      <c r="S297" s="119"/>
      <c r="T297" s="119"/>
      <c r="U297" s="119"/>
      <c r="V297" s="119"/>
      <c r="W297" s="119"/>
    </row>
    <row r="298" spans="1:23" x14ac:dyDescent="0.2">
      <c r="A298" s="122" t="s">
        <v>338</v>
      </c>
      <c r="B298" s="122" t="s">
        <v>858</v>
      </c>
      <c r="C298" s="115"/>
      <c r="D298" s="123" t="str">
        <f>IF(Kielivalinta="","",IF(Kielivalinta="Suomi",_xlfn.IFNA(VLOOKUP($A298,Data!$A$2:$C$612,2,FALSE),0),IF(Kielivalinta="Svenska",_xlfn.IFNA(VLOOKUP($B298,Data!$A$2:$C$612,2,FALSE),0))))</f>
        <v/>
      </c>
      <c r="E298" s="123" t="str">
        <f>IF(Kielivalinta="","",IF(Kielivalinta="Suomi",_xlfn.IFNA(VLOOKUP($A298,Data!$A$2:$C$612,3,FALSE),0),IF(Kielivalinta="Svenska",_xlfn.IFNA(VLOOKUP($B298,Data!$A$2:$C$612,3,FALSE),0))))</f>
        <v/>
      </c>
      <c r="F298" s="119"/>
      <c r="G298" s="119"/>
      <c r="H298" s="119"/>
      <c r="I298" s="119"/>
      <c r="J298" s="119"/>
      <c r="Q298" s="122"/>
      <c r="R298" s="119"/>
      <c r="S298" s="119"/>
      <c r="T298" s="119"/>
      <c r="U298" s="119"/>
      <c r="V298" s="119"/>
      <c r="W298" s="119"/>
    </row>
    <row r="299" spans="1:23" x14ac:dyDescent="0.2">
      <c r="A299" s="122" t="s">
        <v>339</v>
      </c>
      <c r="B299" s="122" t="s">
        <v>859</v>
      </c>
      <c r="C299" s="115"/>
      <c r="D299" s="123" t="str">
        <f>IF(Kielivalinta="","",IF(Kielivalinta="Suomi",_xlfn.IFNA(VLOOKUP($A299,Data!$A$2:$C$612,2,FALSE),0),IF(Kielivalinta="Svenska",_xlfn.IFNA(VLOOKUP($B299,Data!$A$2:$C$612,2,FALSE),0))))</f>
        <v/>
      </c>
      <c r="E299" s="123" t="str">
        <f>IF(Kielivalinta="","",IF(Kielivalinta="Suomi",_xlfn.IFNA(VLOOKUP($A299,Data!$A$2:$C$612,3,FALSE),0),IF(Kielivalinta="Svenska",_xlfn.IFNA(VLOOKUP($B299,Data!$A$2:$C$612,3,FALSE),0))))</f>
        <v/>
      </c>
      <c r="F299" s="119"/>
      <c r="G299" s="119"/>
      <c r="H299" s="119"/>
      <c r="I299" s="119"/>
      <c r="J299" s="119"/>
      <c r="Q299" s="122"/>
      <c r="R299" s="119"/>
      <c r="S299" s="119"/>
      <c r="T299" s="119"/>
      <c r="U299" s="119"/>
      <c r="V299" s="119"/>
      <c r="W299" s="119"/>
    </row>
    <row r="300" spans="1:23" x14ac:dyDescent="0.2">
      <c r="A300" s="122" t="s">
        <v>340</v>
      </c>
      <c r="B300" s="122" t="s">
        <v>860</v>
      </c>
      <c r="C300" s="115"/>
      <c r="D300" s="123" t="str">
        <f>IF(Kielivalinta="","",IF(Kielivalinta="Suomi",_xlfn.IFNA(VLOOKUP($A300,Data!$A$2:$C$612,2,FALSE),0),IF(Kielivalinta="Svenska",_xlfn.IFNA(VLOOKUP($B300,Data!$A$2:$C$612,2,FALSE),0))))</f>
        <v/>
      </c>
      <c r="E300" s="123" t="str">
        <f>IF(Kielivalinta="","",IF(Kielivalinta="Suomi",_xlfn.IFNA(VLOOKUP($A300,Data!$A$2:$C$612,3,FALSE),0),IF(Kielivalinta="Svenska",_xlfn.IFNA(VLOOKUP($B300,Data!$A$2:$C$612,3,FALSE),0))))</f>
        <v/>
      </c>
      <c r="F300" s="119"/>
      <c r="G300" s="119"/>
      <c r="H300" s="119"/>
      <c r="I300" s="119"/>
      <c r="J300" s="119"/>
      <c r="Q300" s="122"/>
      <c r="R300" s="119"/>
      <c r="S300" s="119"/>
      <c r="T300" s="119"/>
      <c r="U300" s="119"/>
      <c r="V300" s="119"/>
      <c r="W300" s="119"/>
    </row>
    <row r="301" spans="1:23" x14ac:dyDescent="0.2">
      <c r="A301" s="122" t="s">
        <v>341</v>
      </c>
      <c r="B301" s="122" t="s">
        <v>861</v>
      </c>
      <c r="C301" s="132" t="s">
        <v>14</v>
      </c>
      <c r="D301" s="123" t="str">
        <f>IF(Kielivalinta="","",IF(Kielivalinta="Suomi",_xlfn.IFNA(VLOOKUP($A301,Data!$A$2:$C$612,2,FALSE),0),IF(Kielivalinta="Svenska",_xlfn.IFNA(VLOOKUP($B301,Data!$A$2:$C$612,2,FALSE),0))))</f>
        <v/>
      </c>
      <c r="E301" s="123" t="str">
        <f>IF(Kielivalinta="","",IF(Kielivalinta="Suomi",_xlfn.IFNA(VLOOKUP($A301,Data!$A$2:$C$612,3,FALSE),0),IF(Kielivalinta="Svenska",_xlfn.IFNA(VLOOKUP($B301,Data!$A$2:$C$612,3,FALSE),0))))</f>
        <v/>
      </c>
      <c r="F301" s="122"/>
      <c r="G301" s="127" t="str">
        <f>RIGHT(Data!$B$3,4)</f>
        <v/>
      </c>
      <c r="H301" s="127" t="str">
        <f>RIGHT(Data!$C$3,4)</f>
        <v/>
      </c>
      <c r="I301" s="119"/>
      <c r="J301" s="119"/>
      <c r="Q301" s="122"/>
      <c r="R301" s="119"/>
      <c r="S301" s="119"/>
      <c r="T301" s="119"/>
      <c r="U301" s="119"/>
      <c r="V301" s="119"/>
      <c r="W301" s="119"/>
    </row>
    <row r="302" spans="1:23" x14ac:dyDescent="0.2">
      <c r="A302" s="122" t="s">
        <v>632</v>
      </c>
      <c r="B302" s="122" t="s">
        <v>862</v>
      </c>
      <c r="C302" s="119" t="s">
        <v>28</v>
      </c>
      <c r="D302" s="123" t="str">
        <f>IF(Kielivalinta="","",IF(Kielivalinta="Suomi",_xlfn.IFNA(VLOOKUP($A302,Data!$A$2:$C$612,2,FALSE),0),IF(Kielivalinta="Svenska",_xlfn.IFNA(VLOOKUP($B302,Data!$A$2:$C$612,2,FALSE),0))))</f>
        <v/>
      </c>
      <c r="E302" s="123" t="str">
        <f>IF(Kielivalinta="","",IF(Kielivalinta="Suomi",_xlfn.IFNA(VLOOKUP($A302,Data!$A$2:$C$612,3,FALSE),0),IF(Kielivalinta="Svenska",_xlfn.IFNA(VLOOKUP($B302,Data!$A$2:$C$612,3,FALSE),0))))</f>
        <v/>
      </c>
      <c r="F302" s="133" t="s">
        <v>10</v>
      </c>
      <c r="G302" s="123" t="str">
        <f>IFERROR(D308+D309,"")</f>
        <v/>
      </c>
      <c r="H302" s="123" t="str">
        <f>IFERROR(E308+E309,"")</f>
        <v/>
      </c>
      <c r="I302" s="119"/>
      <c r="J302" s="119"/>
      <c r="Q302" s="122"/>
      <c r="R302" s="119"/>
      <c r="S302" s="119"/>
      <c r="T302" s="119"/>
      <c r="U302" s="119"/>
      <c r="V302" s="119"/>
      <c r="W302" s="119"/>
    </row>
    <row r="303" spans="1:23" x14ac:dyDescent="0.2">
      <c r="A303" s="122" t="s">
        <v>342</v>
      </c>
      <c r="B303" s="122" t="s">
        <v>863</v>
      </c>
      <c r="C303" s="119" t="s">
        <v>12</v>
      </c>
      <c r="D303" s="123" t="str">
        <f>IF(Kielivalinta="","",IF(Kielivalinta="Suomi",_xlfn.IFNA(VLOOKUP($A303,Data!$A$2:$C$612,2,FALSE),0),IF(Kielivalinta="Svenska",_xlfn.IFNA(VLOOKUP($B303,Data!$A$2:$C$612,2,FALSE),0))))</f>
        <v/>
      </c>
      <c r="E303" s="123" t="str">
        <f>IF(Kielivalinta="","",IF(Kielivalinta="Suomi",_xlfn.IFNA(VLOOKUP($A303,Data!$A$2:$C$612,3,FALSE),0),IF(Kielivalinta="Svenska",_xlfn.IFNA(VLOOKUP($B303,Data!$A$2:$C$612,3,FALSE),0))))</f>
        <v/>
      </c>
      <c r="F303" s="133" t="s">
        <v>5</v>
      </c>
      <c r="G303" s="123" t="str">
        <f>IFERROR(D302+D303+D304,"")</f>
        <v/>
      </c>
      <c r="H303" s="123" t="str">
        <f>IFERROR(E302+E303+E304,"")</f>
        <v/>
      </c>
      <c r="I303" s="119"/>
      <c r="J303" s="119"/>
      <c r="Q303" s="122"/>
      <c r="R303" s="119"/>
      <c r="S303" s="119"/>
      <c r="T303" s="119"/>
      <c r="U303" s="119"/>
      <c r="V303" s="119"/>
      <c r="W303" s="119"/>
    </row>
    <row r="304" spans="1:23" x14ac:dyDescent="0.2">
      <c r="A304" s="122" t="s">
        <v>633</v>
      </c>
      <c r="B304" s="122" t="s">
        <v>864</v>
      </c>
      <c r="C304" s="119" t="s">
        <v>29</v>
      </c>
      <c r="D304" s="123" t="str">
        <f>IF(Kielivalinta="","",IF(Kielivalinta="Suomi",_xlfn.IFNA(VLOOKUP($A304,Data!$A$2:$C$612,2,FALSE),0),IF(Kielivalinta="Svenska",_xlfn.IFNA(VLOOKUP($B304,Data!$A$2:$C$612,2,FALSE),0))))</f>
        <v/>
      </c>
      <c r="E304" s="123" t="str">
        <f>IF(Kielivalinta="","",IF(Kielivalinta="Suomi",_xlfn.IFNA(VLOOKUP($A304,Data!$A$2:$C$612,3,FALSE),0),IF(Kielivalinta="Svenska",_xlfn.IFNA(VLOOKUP($B304,Data!$A$2:$C$612,3,FALSE),0))))</f>
        <v/>
      </c>
      <c r="F304" s="133" t="s">
        <v>11</v>
      </c>
      <c r="G304" s="123" t="str">
        <f>IFERROR(D305+D306+D307+D310+D311+D312+D313+D314+D315+D316+D317+D318+D319+D320+D321+D322,"")</f>
        <v/>
      </c>
      <c r="H304" s="123" t="str">
        <f>IFERROR(E305+E306+E307+E310+E311+E312+E313+E314+E315+E316+E317+E318+E319+E320+E321+E322,"")</f>
        <v/>
      </c>
      <c r="I304" s="119"/>
      <c r="J304" s="119"/>
      <c r="Q304" s="122"/>
      <c r="R304" s="119"/>
      <c r="S304" s="119"/>
      <c r="T304" s="119"/>
      <c r="U304" s="119"/>
      <c r="V304" s="119"/>
      <c r="W304" s="119"/>
    </row>
    <row r="305" spans="1:23" x14ac:dyDescent="0.2">
      <c r="A305" s="122" t="s">
        <v>343</v>
      </c>
      <c r="B305" s="122" t="s">
        <v>865</v>
      </c>
      <c r="C305" s="119" t="s">
        <v>15</v>
      </c>
      <c r="D305" s="123" t="str">
        <f>IF(Kielivalinta="","",IF(Kielivalinta="Suomi",_xlfn.IFNA(VLOOKUP($A305,Data!$A$2:$C$612,2,FALSE),0),IF(Kielivalinta="Svenska",_xlfn.IFNA(VLOOKUP($B305,Data!$A$2:$C$612,2,FALSE),0))))</f>
        <v/>
      </c>
      <c r="E305" s="123" t="str">
        <f>IF(Kielivalinta="","",IF(Kielivalinta="Suomi",_xlfn.IFNA(VLOOKUP($A305,Data!$A$2:$C$612,3,FALSE),0),IF(Kielivalinta="Svenska",_xlfn.IFNA(VLOOKUP($B305,Data!$A$2:$C$612,3,FALSE),0))))</f>
        <v/>
      </c>
      <c r="F305" s="134" t="s">
        <v>4</v>
      </c>
      <c r="G305" s="135">
        <f>SUM(G302:G304)</f>
        <v>0</v>
      </c>
      <c r="H305" s="135">
        <f>SUM(H302:H304)</f>
        <v>0</v>
      </c>
      <c r="I305" s="119"/>
      <c r="J305" s="119"/>
      <c r="Q305" s="122"/>
      <c r="R305" s="119"/>
      <c r="S305" s="119"/>
      <c r="T305" s="119"/>
      <c r="U305" s="119"/>
      <c r="V305" s="119"/>
      <c r="W305" s="119"/>
    </row>
    <row r="306" spans="1:23" x14ac:dyDescent="0.2">
      <c r="A306" s="122" t="s">
        <v>634</v>
      </c>
      <c r="B306" s="122" t="s">
        <v>866</v>
      </c>
      <c r="C306" s="119" t="s">
        <v>31</v>
      </c>
      <c r="D306" s="123" t="str">
        <f>IF(Kielivalinta="","",IF(Kielivalinta="Suomi",_xlfn.IFNA(VLOOKUP($A306,Data!$A$2:$C$612,2,FALSE),0),IF(Kielivalinta="Svenska",_xlfn.IFNA(VLOOKUP($B306,Data!$A$2:$C$612,2,FALSE),0))))</f>
        <v/>
      </c>
      <c r="E306" s="123" t="str">
        <f>IF(Kielivalinta="","",IF(Kielivalinta="Suomi",_xlfn.IFNA(VLOOKUP($A306,Data!$A$2:$C$612,3,FALSE),0),IF(Kielivalinta="Svenska",_xlfn.IFNA(VLOOKUP($B306,Data!$A$2:$C$612,3,FALSE),0))))</f>
        <v/>
      </c>
      <c r="F306" s="122"/>
      <c r="G306" s="119"/>
      <c r="H306" s="119"/>
      <c r="I306" s="119"/>
      <c r="J306" s="119"/>
      <c r="Q306" s="122"/>
      <c r="R306" s="119"/>
      <c r="S306" s="119"/>
      <c r="T306" s="119"/>
      <c r="U306" s="119"/>
      <c r="V306" s="119"/>
      <c r="W306" s="119"/>
    </row>
    <row r="307" spans="1:23" x14ac:dyDescent="0.2">
      <c r="A307" s="122" t="s">
        <v>344</v>
      </c>
      <c r="B307" s="122" t="s">
        <v>867</v>
      </c>
      <c r="C307" s="119" t="s">
        <v>16</v>
      </c>
      <c r="D307" s="123" t="str">
        <f>IF(Kielivalinta="","",IF(Kielivalinta="Suomi",_xlfn.IFNA(VLOOKUP($A307,Data!$A$2:$C$612,2,FALSE),0),IF(Kielivalinta="Svenska",_xlfn.IFNA(VLOOKUP($B307,Data!$A$2:$C$612,2,FALSE),0))))</f>
        <v/>
      </c>
      <c r="E307" s="123" t="str">
        <f>IF(Kielivalinta="","",IF(Kielivalinta="Suomi",_xlfn.IFNA(VLOOKUP($A307,Data!$A$2:$C$612,3,FALSE),0),IF(Kielivalinta="Svenska",_xlfn.IFNA(VLOOKUP($B307,Data!$A$2:$C$612,3,FALSE),0))))</f>
        <v/>
      </c>
      <c r="F307" s="113" t="s">
        <v>35</v>
      </c>
      <c r="G307" s="119"/>
      <c r="H307" s="119"/>
      <c r="I307" s="119"/>
      <c r="J307" s="119"/>
      <c r="Q307" s="122"/>
      <c r="R307" s="119"/>
      <c r="S307" s="119"/>
      <c r="T307" s="119"/>
      <c r="U307" s="119"/>
      <c r="V307" s="119"/>
      <c r="W307" s="119"/>
    </row>
    <row r="308" spans="1:23" x14ac:dyDescent="0.2">
      <c r="A308" s="122" t="s">
        <v>635</v>
      </c>
      <c r="B308" s="122" t="s">
        <v>868</v>
      </c>
      <c r="C308" s="119" t="s">
        <v>30</v>
      </c>
      <c r="D308" s="123" t="str">
        <f>IF(Kielivalinta="","",IF(Kielivalinta="Suomi",_xlfn.IFNA(VLOOKUP($A308,Data!$A$2:$C$612,2,FALSE),0),IF(Kielivalinta="Svenska",_xlfn.IFNA(VLOOKUP($B308,Data!$A$2:$C$612,2,FALSE),0))))</f>
        <v/>
      </c>
      <c r="E308" s="123" t="str">
        <f>IF(Kielivalinta="","",IF(Kielivalinta="Suomi",_xlfn.IFNA(VLOOKUP($A308,Data!$A$2:$C$612,3,FALSE),0),IF(Kielivalinta="Svenska",_xlfn.IFNA(VLOOKUP($B308,Data!$A$2:$C$612,3,FALSE),0))))</f>
        <v/>
      </c>
      <c r="F308" s="122"/>
      <c r="G308" s="127" t="str">
        <f>RIGHT(Data!$B$3,4)</f>
        <v/>
      </c>
      <c r="H308" s="127" t="str">
        <f>RIGHT(Data!$C$3,4)</f>
        <v/>
      </c>
      <c r="I308" s="119"/>
      <c r="J308" s="119"/>
      <c r="Q308" s="122"/>
      <c r="R308" s="119"/>
      <c r="S308" s="119"/>
      <c r="T308" s="119"/>
      <c r="U308" s="119"/>
      <c r="V308" s="119"/>
      <c r="W308" s="119"/>
    </row>
    <row r="309" spans="1:23" x14ac:dyDescent="0.2">
      <c r="A309" s="122" t="s">
        <v>345</v>
      </c>
      <c r="B309" s="122" t="s">
        <v>869</v>
      </c>
      <c r="C309" s="119" t="s">
        <v>13</v>
      </c>
      <c r="D309" s="123" t="str">
        <f>IF(Kielivalinta="","",IF(Kielivalinta="Suomi",_xlfn.IFNA(VLOOKUP($A309,Data!$A$2:$C$612,2,FALSE),0),IF(Kielivalinta="Svenska",_xlfn.IFNA(VLOOKUP($B309,Data!$A$2:$C$612,2,FALSE),0))))</f>
        <v/>
      </c>
      <c r="E309" s="123" t="str">
        <f>IF(Kielivalinta="","",IF(Kielivalinta="Suomi",_xlfn.IFNA(VLOOKUP($A309,Data!$A$2:$C$612,3,FALSE),0),IF(Kielivalinta="Svenska",_xlfn.IFNA(VLOOKUP($B309,Data!$A$2:$C$612,3,FALSE),0))))</f>
        <v/>
      </c>
      <c r="F309" s="122" t="s">
        <v>39</v>
      </c>
      <c r="G309" s="123" t="str">
        <f>IFERROR(D302+D303+D304,"")</f>
        <v/>
      </c>
      <c r="H309" s="123" t="str">
        <f>IFERROR(E302+E303+E304,"")</f>
        <v/>
      </c>
      <c r="I309" s="119"/>
      <c r="J309" s="119"/>
      <c r="Q309" s="122"/>
      <c r="R309" s="119"/>
      <c r="S309" s="119"/>
      <c r="T309" s="119"/>
      <c r="U309" s="119"/>
      <c r="V309" s="119"/>
      <c r="W309" s="119"/>
    </row>
    <row r="310" spans="1:23" x14ac:dyDescent="0.2">
      <c r="A310" s="122" t="s">
        <v>346</v>
      </c>
      <c r="B310" s="122" t="s">
        <v>870</v>
      </c>
      <c r="C310" s="119" t="s">
        <v>17</v>
      </c>
      <c r="D310" s="123" t="str">
        <f>IF(Kielivalinta="","",IF(Kielivalinta="Suomi",_xlfn.IFNA(VLOOKUP($A310,Data!$A$2:$C$612,2,FALSE),0),IF(Kielivalinta="Svenska",_xlfn.IFNA(VLOOKUP($B310,Data!$A$2:$C$612,2,FALSE),0))))</f>
        <v/>
      </c>
      <c r="E310" s="123" t="str">
        <f>IF(Kielivalinta="","",IF(Kielivalinta="Suomi",_xlfn.IFNA(VLOOKUP($A310,Data!$A$2:$C$612,3,FALSE),0),IF(Kielivalinta="Svenska",_xlfn.IFNA(VLOOKUP($B310,Data!$A$2:$C$612,3,FALSE),0))))</f>
        <v/>
      </c>
      <c r="F310" s="122" t="s">
        <v>40</v>
      </c>
      <c r="G310" s="123" t="str">
        <f>IFERROR(D308+D309,"")</f>
        <v/>
      </c>
      <c r="H310" s="123" t="str">
        <f>IFERROR(E308+E309,"")</f>
        <v/>
      </c>
      <c r="I310" s="119"/>
      <c r="J310" s="119"/>
      <c r="Q310" s="122"/>
      <c r="R310" s="119"/>
      <c r="S310" s="119"/>
      <c r="T310" s="119"/>
      <c r="U310" s="119"/>
      <c r="V310" s="119"/>
      <c r="W310" s="119"/>
    </row>
    <row r="311" spans="1:23" x14ac:dyDescent="0.2">
      <c r="A311" s="122" t="s">
        <v>636</v>
      </c>
      <c r="B311" s="122" t="s">
        <v>871</v>
      </c>
      <c r="C311" s="119" t="s">
        <v>32</v>
      </c>
      <c r="D311" s="123" t="str">
        <f>IF(Kielivalinta="","",IF(Kielivalinta="Suomi",_xlfn.IFNA(VLOOKUP($A311,Data!$A$2:$C$612,2,FALSE),0),IF(Kielivalinta="Svenska",_xlfn.IFNA(VLOOKUP($B311,Data!$A$2:$C$612,2,FALSE),0))))</f>
        <v/>
      </c>
      <c r="E311" s="123" t="str">
        <f>IF(Kielivalinta="","",IF(Kielivalinta="Suomi",_xlfn.IFNA(VLOOKUP($A311,Data!$A$2:$C$612,3,FALSE),0),IF(Kielivalinta="Svenska",_xlfn.IFNA(VLOOKUP($B311,Data!$A$2:$C$612,3,FALSE),0))))</f>
        <v/>
      </c>
      <c r="F311" s="122" t="s">
        <v>36</v>
      </c>
      <c r="G311" s="123" t="str">
        <f>IFERROR(D306+D307+D311+D312+D313+D314,"")</f>
        <v/>
      </c>
      <c r="H311" s="123" t="str">
        <f>IFERROR(E306+E307+E311+E312+E313+E314,"")</f>
        <v/>
      </c>
      <c r="I311" s="119"/>
      <c r="J311" s="119"/>
      <c r="Q311" s="122"/>
      <c r="R311" s="119"/>
      <c r="S311" s="119"/>
      <c r="T311" s="119"/>
      <c r="U311" s="119"/>
      <c r="V311" s="119"/>
      <c r="W311" s="119"/>
    </row>
    <row r="312" spans="1:23" x14ac:dyDescent="0.2">
      <c r="A312" s="122" t="s">
        <v>347</v>
      </c>
      <c r="B312" s="122" t="s">
        <v>872</v>
      </c>
      <c r="C312" s="119" t="s">
        <v>18</v>
      </c>
      <c r="D312" s="123" t="str">
        <f>IF(Kielivalinta="","",IF(Kielivalinta="Suomi",_xlfn.IFNA(VLOOKUP($A312,Data!$A$2:$C$612,2,FALSE),0),IF(Kielivalinta="Svenska",_xlfn.IFNA(VLOOKUP($B312,Data!$A$2:$C$612,2,FALSE),0))))</f>
        <v/>
      </c>
      <c r="E312" s="123" t="str">
        <f>IF(Kielivalinta="","",IF(Kielivalinta="Suomi",_xlfn.IFNA(VLOOKUP($A312,Data!$A$2:$C$612,3,FALSE),0),IF(Kielivalinta="Svenska",_xlfn.IFNA(VLOOKUP($B312,Data!$A$2:$C$612,3,FALSE),0))))</f>
        <v/>
      </c>
      <c r="F312" s="122" t="s">
        <v>20</v>
      </c>
      <c r="G312" s="123" t="str">
        <f>IFERROR(D305+D310+D315+D316,"")</f>
        <v/>
      </c>
      <c r="H312" s="123" t="str">
        <f>IFERROR(E305+E310+E315+E316,"")</f>
        <v/>
      </c>
      <c r="I312" s="119"/>
      <c r="J312" s="119"/>
      <c r="Q312" s="122"/>
      <c r="R312" s="119"/>
      <c r="S312" s="119"/>
      <c r="T312" s="119"/>
      <c r="U312" s="119"/>
      <c r="V312" s="119"/>
      <c r="W312" s="119"/>
    </row>
    <row r="313" spans="1:23" x14ac:dyDescent="0.2">
      <c r="A313" s="122" t="s">
        <v>348</v>
      </c>
      <c r="B313" s="122" t="s">
        <v>873</v>
      </c>
      <c r="C313" s="119" t="s">
        <v>19</v>
      </c>
      <c r="D313" s="123" t="str">
        <f>IF(Kielivalinta="","",IF(Kielivalinta="Suomi",_xlfn.IFNA(VLOOKUP($A313,Data!$A$2:$C$612,2,FALSE),0),IF(Kielivalinta="Svenska",_xlfn.IFNA(VLOOKUP($B313,Data!$A$2:$C$612,2,FALSE),0))))</f>
        <v/>
      </c>
      <c r="E313" s="123" t="str">
        <f>IF(Kielivalinta="","",IF(Kielivalinta="Suomi",_xlfn.IFNA(VLOOKUP($A313,Data!$A$2:$C$612,3,FALSE),0),IF(Kielivalinta="Svenska",_xlfn.IFNA(VLOOKUP($B313,Data!$A$2:$C$612,3,FALSE),0))))</f>
        <v/>
      </c>
      <c r="F313" s="122" t="s">
        <v>37</v>
      </c>
      <c r="G313" s="123" t="str">
        <f>IFERROR(D320+D321,"")</f>
        <v/>
      </c>
      <c r="H313" s="123" t="str">
        <f>IFERROR(E320+E321,"")</f>
        <v/>
      </c>
      <c r="I313" s="119"/>
      <c r="J313" s="119"/>
      <c r="Q313" s="122"/>
      <c r="R313" s="119"/>
      <c r="S313" s="119"/>
      <c r="T313" s="119"/>
      <c r="U313" s="119"/>
      <c r="V313" s="119"/>
      <c r="W313" s="119"/>
    </row>
    <row r="314" spans="1:23" x14ac:dyDescent="0.2">
      <c r="A314" s="122" t="s">
        <v>637</v>
      </c>
      <c r="B314" s="122" t="s">
        <v>874</v>
      </c>
      <c r="C314" s="119" t="s">
        <v>33</v>
      </c>
      <c r="D314" s="123" t="str">
        <f>IF(Kielivalinta="","",IF(Kielivalinta="Suomi",_xlfn.IFNA(VLOOKUP($A314,Data!$A$2:$C$612,2,FALSE),0),IF(Kielivalinta="Svenska",_xlfn.IFNA(VLOOKUP($B314,Data!$A$2:$C$612,2,FALSE),0))))</f>
        <v/>
      </c>
      <c r="E314" s="123" t="str">
        <f>IF(Kielivalinta="","",IF(Kielivalinta="Suomi",_xlfn.IFNA(VLOOKUP($A314,Data!$A$2:$C$612,3,FALSE),0),IF(Kielivalinta="Svenska",_xlfn.IFNA(VLOOKUP($B314,Data!$A$2:$C$612,3,FALSE),0))))</f>
        <v/>
      </c>
      <c r="F314" s="122" t="s">
        <v>38</v>
      </c>
      <c r="G314" s="123" t="str">
        <f>IFERROR(D317+D318+D319+D322,"")</f>
        <v/>
      </c>
      <c r="H314" s="123" t="str">
        <f>IFERROR(E317+E318+E319+E322,"")</f>
        <v/>
      </c>
      <c r="I314" s="119"/>
      <c r="J314" s="119"/>
      <c r="Q314" s="122"/>
      <c r="R314" s="119"/>
      <c r="S314" s="119"/>
      <c r="T314" s="119"/>
      <c r="U314" s="119"/>
      <c r="V314" s="119"/>
      <c r="W314" s="119"/>
    </row>
    <row r="315" spans="1:23" x14ac:dyDescent="0.2">
      <c r="A315" s="122" t="s">
        <v>349</v>
      </c>
      <c r="B315" s="122" t="s">
        <v>875</v>
      </c>
      <c r="C315" s="119" t="s">
        <v>20</v>
      </c>
      <c r="D315" s="123" t="str">
        <f>IF(Kielivalinta="","",IF(Kielivalinta="Suomi",_xlfn.IFNA(VLOOKUP($A315,Data!$A$2:$C$612,2,FALSE),0),IF(Kielivalinta="Svenska",_xlfn.IFNA(VLOOKUP($B315,Data!$A$2:$C$612,2,FALSE),0))))</f>
        <v/>
      </c>
      <c r="E315" s="123" t="str">
        <f>IF(Kielivalinta="","",IF(Kielivalinta="Suomi",_xlfn.IFNA(VLOOKUP($A315,Data!$A$2:$C$612,3,FALSE),0),IF(Kielivalinta="Svenska",_xlfn.IFNA(VLOOKUP($B315,Data!$A$2:$C$612,3,FALSE),0))))</f>
        <v/>
      </c>
      <c r="F315" s="122" t="s">
        <v>4</v>
      </c>
      <c r="G315" s="135">
        <f>IFERROR(SUM(G309:G314),"")</f>
        <v>0</v>
      </c>
      <c r="H315" s="135">
        <f>SUM(H309:H314)</f>
        <v>0</v>
      </c>
      <c r="I315" s="119"/>
      <c r="J315" s="119"/>
      <c r="Q315" s="122"/>
      <c r="R315" s="119"/>
      <c r="S315" s="119"/>
      <c r="T315" s="119"/>
      <c r="U315" s="119"/>
      <c r="V315" s="119"/>
      <c r="W315" s="119"/>
    </row>
    <row r="316" spans="1:23" x14ac:dyDescent="0.2">
      <c r="A316" s="122" t="s">
        <v>350</v>
      </c>
      <c r="B316" s="122" t="s">
        <v>876</v>
      </c>
      <c r="C316" s="119" t="s">
        <v>21</v>
      </c>
      <c r="D316" s="123" t="str">
        <f>IF(Kielivalinta="","",IF(Kielivalinta="Suomi",_xlfn.IFNA(VLOOKUP($A316,Data!$A$2:$C$612,2,FALSE),0),IF(Kielivalinta="Svenska",_xlfn.IFNA(VLOOKUP($B316,Data!$A$2:$C$612,2,FALSE),0))))</f>
        <v/>
      </c>
      <c r="E316" s="123" t="str">
        <f>IF(Kielivalinta="","",IF(Kielivalinta="Suomi",_xlfn.IFNA(VLOOKUP($A316,Data!$A$2:$C$612,3,FALSE),0),IF(Kielivalinta="Svenska",_xlfn.IFNA(VLOOKUP($B316,Data!$A$2:$C$612,3,FALSE),0))))</f>
        <v/>
      </c>
      <c r="F316" s="122"/>
      <c r="G316" s="123"/>
      <c r="H316" s="123"/>
      <c r="I316" s="119"/>
      <c r="J316" s="119"/>
      <c r="Q316" s="122"/>
      <c r="R316" s="119"/>
      <c r="S316" s="119"/>
      <c r="T316" s="119"/>
      <c r="U316" s="119"/>
      <c r="V316" s="119"/>
      <c r="W316" s="119"/>
    </row>
    <row r="317" spans="1:23" x14ac:dyDescent="0.2">
      <c r="A317" s="122" t="s">
        <v>351</v>
      </c>
      <c r="B317" s="122" t="s">
        <v>877</v>
      </c>
      <c r="C317" s="119" t="s">
        <v>22</v>
      </c>
      <c r="D317" s="123" t="str">
        <f>IF(Kielivalinta="","",IF(Kielivalinta="Suomi",_xlfn.IFNA(VLOOKUP($A317,Data!$A$2:$C$612,2,FALSE),0),IF(Kielivalinta="Svenska",_xlfn.IFNA(VLOOKUP($B317,Data!$A$2:$C$612,2,FALSE),0))))</f>
        <v/>
      </c>
      <c r="E317" s="123" t="str">
        <f>IF(Kielivalinta="","",IF(Kielivalinta="Suomi",_xlfn.IFNA(VLOOKUP($A317,Data!$A$2:$C$612,3,FALSE),0),IF(Kielivalinta="Svenska",_xlfn.IFNA(VLOOKUP($B317,Data!$A$2:$C$612,3,FALSE),0))))</f>
        <v/>
      </c>
      <c r="F317" s="122"/>
      <c r="G317" s="136"/>
      <c r="H317" s="136"/>
      <c r="I317" s="119"/>
      <c r="J317" s="119"/>
      <c r="Q317" s="122"/>
      <c r="R317" s="119"/>
      <c r="S317" s="119"/>
      <c r="T317" s="119"/>
      <c r="U317" s="119"/>
      <c r="V317" s="119"/>
      <c r="W317" s="119"/>
    </row>
    <row r="318" spans="1:23" x14ac:dyDescent="0.2">
      <c r="A318" s="122" t="s">
        <v>352</v>
      </c>
      <c r="B318" s="122" t="s">
        <v>878</v>
      </c>
      <c r="C318" s="119" t="s">
        <v>23</v>
      </c>
      <c r="D318" s="123" t="str">
        <f>IF(Kielivalinta="","",IF(Kielivalinta="Suomi",_xlfn.IFNA(VLOOKUP($A318,Data!$A$2:$C$612,2,FALSE),0),IF(Kielivalinta="Svenska",_xlfn.IFNA(VLOOKUP($B318,Data!$A$2:$C$612,2,FALSE),0))))</f>
        <v/>
      </c>
      <c r="E318" s="123" t="str">
        <f>IF(Kielivalinta="","",IF(Kielivalinta="Suomi",_xlfn.IFNA(VLOOKUP($A318,Data!$A$2:$C$612,3,FALSE),0),IF(Kielivalinta="Svenska",_xlfn.IFNA(VLOOKUP($B318,Data!$A$2:$C$612,3,FALSE),0))))</f>
        <v/>
      </c>
      <c r="F318" s="119"/>
      <c r="G318" s="119"/>
      <c r="H318" s="119"/>
      <c r="I318" s="119"/>
      <c r="J318" s="119"/>
      <c r="Q318" s="122"/>
      <c r="R318" s="119"/>
      <c r="S318" s="119"/>
      <c r="T318" s="119"/>
      <c r="U318" s="119"/>
      <c r="V318" s="119"/>
      <c r="W318" s="119"/>
    </row>
    <row r="319" spans="1:23" x14ac:dyDescent="0.2">
      <c r="A319" s="122" t="s">
        <v>353</v>
      </c>
      <c r="B319" s="122" t="s">
        <v>353</v>
      </c>
      <c r="C319" s="119" t="s">
        <v>24</v>
      </c>
      <c r="D319" s="123" t="str">
        <f>IF(Kielivalinta="","",IF(Kielivalinta="Suomi",_xlfn.IFNA(VLOOKUP($A319,Data!$A$2:$C$612,2,FALSE),0),IF(Kielivalinta="Svenska",_xlfn.IFNA(VLOOKUP($B319,Data!$A$2:$C$612,2,FALSE),0))))</f>
        <v/>
      </c>
      <c r="E319" s="123" t="str">
        <f>IF(Kielivalinta="","",IF(Kielivalinta="Suomi",_xlfn.IFNA(VLOOKUP($A319,Data!$A$2:$C$612,3,FALSE),0),IF(Kielivalinta="Svenska",_xlfn.IFNA(VLOOKUP($B319,Data!$A$2:$C$612,3,FALSE),0))))</f>
        <v/>
      </c>
      <c r="F319" s="119"/>
      <c r="G319" s="119"/>
      <c r="H319" s="119"/>
      <c r="I319" s="119"/>
      <c r="J319" s="119"/>
      <c r="Q319" s="122"/>
      <c r="R319" s="119"/>
      <c r="S319" s="119"/>
      <c r="T319" s="119"/>
      <c r="U319" s="119"/>
      <c r="V319" s="119"/>
      <c r="W319" s="119"/>
    </row>
    <row r="320" spans="1:23" x14ac:dyDescent="0.2">
      <c r="A320" s="122" t="s">
        <v>354</v>
      </c>
      <c r="B320" s="122" t="s">
        <v>879</v>
      </c>
      <c r="C320" s="119" t="s">
        <v>25</v>
      </c>
      <c r="D320" s="123" t="str">
        <f>IF(Kielivalinta="","",IF(Kielivalinta="Suomi",_xlfn.IFNA(VLOOKUP($A320,Data!$A$2:$C$612,2,FALSE),0),IF(Kielivalinta="Svenska",_xlfn.IFNA(VLOOKUP($B320,Data!$A$2:$C$612,2,FALSE),0))))</f>
        <v/>
      </c>
      <c r="E320" s="123" t="str">
        <f>IF(Kielivalinta="","",IF(Kielivalinta="Suomi",_xlfn.IFNA(VLOOKUP($A320,Data!$A$2:$C$612,3,FALSE),0),IF(Kielivalinta="Svenska",_xlfn.IFNA(VLOOKUP($B320,Data!$A$2:$C$612,3,FALSE),0))))</f>
        <v/>
      </c>
      <c r="F320" s="119"/>
      <c r="G320" s="119"/>
      <c r="H320" s="119"/>
      <c r="I320" s="119"/>
      <c r="J320" s="119"/>
      <c r="Q320" s="122"/>
      <c r="R320" s="119"/>
      <c r="S320" s="119"/>
      <c r="T320" s="119"/>
      <c r="U320" s="119"/>
      <c r="V320" s="119"/>
      <c r="W320" s="119"/>
    </row>
    <row r="321" spans="1:23" x14ac:dyDescent="0.2">
      <c r="A321" s="122" t="s">
        <v>355</v>
      </c>
      <c r="B321" s="122" t="s">
        <v>880</v>
      </c>
      <c r="C321" s="119" t="s">
        <v>26</v>
      </c>
      <c r="D321" s="123" t="str">
        <f>IF(Kielivalinta="","",IF(Kielivalinta="Suomi",_xlfn.IFNA(VLOOKUP($A321,Data!$A$2:$C$612,2,FALSE),0),IF(Kielivalinta="Svenska",_xlfn.IFNA(VLOOKUP($B321,Data!$A$2:$C$612,2,FALSE),0))))</f>
        <v/>
      </c>
      <c r="E321" s="123" t="str">
        <f>IF(Kielivalinta="","",IF(Kielivalinta="Suomi",_xlfn.IFNA(VLOOKUP($A321,Data!$A$2:$C$612,3,FALSE),0),IF(Kielivalinta="Svenska",_xlfn.IFNA(VLOOKUP($B321,Data!$A$2:$C$612,3,FALSE),0))))</f>
        <v/>
      </c>
      <c r="F321" s="119"/>
      <c r="G321" s="119"/>
      <c r="H321" s="119"/>
      <c r="I321" s="119"/>
      <c r="J321" s="119"/>
      <c r="Q321" s="122"/>
      <c r="R321" s="119"/>
      <c r="S321" s="119"/>
      <c r="T321" s="119"/>
      <c r="U321" s="119"/>
      <c r="V321" s="119"/>
      <c r="W321" s="119"/>
    </row>
    <row r="322" spans="1:23" x14ac:dyDescent="0.2">
      <c r="A322" s="122" t="s">
        <v>356</v>
      </c>
      <c r="B322" s="122" t="s">
        <v>881</v>
      </c>
      <c r="C322" s="119" t="s">
        <v>27</v>
      </c>
      <c r="D322" s="123" t="str">
        <f>IF(Kielivalinta="","",IF(Kielivalinta="Suomi",_xlfn.IFNA(VLOOKUP($A322,Data!$A$2:$C$612,2,FALSE),0),IF(Kielivalinta="Svenska",_xlfn.IFNA(VLOOKUP($B322,Data!$A$2:$C$612,2,FALSE),0))))</f>
        <v/>
      </c>
      <c r="E322" s="123" t="str">
        <f>IF(Kielivalinta="","",IF(Kielivalinta="Suomi",_xlfn.IFNA(VLOOKUP($A322,Data!$A$2:$C$612,3,FALSE),0),IF(Kielivalinta="Svenska",_xlfn.IFNA(VLOOKUP($B322,Data!$A$2:$C$612,3,FALSE),0))))</f>
        <v/>
      </c>
      <c r="F322" s="119"/>
      <c r="G322" s="119"/>
      <c r="H322" s="119"/>
      <c r="I322" s="119"/>
      <c r="J322" s="119"/>
      <c r="Q322" s="122"/>
      <c r="R322" s="119"/>
      <c r="S322" s="119"/>
      <c r="T322" s="119"/>
      <c r="U322" s="119"/>
      <c r="V322" s="119"/>
      <c r="W322" s="119"/>
    </row>
    <row r="323" spans="1:23" x14ac:dyDescent="0.2">
      <c r="A323" s="122" t="s">
        <v>357</v>
      </c>
      <c r="B323" s="122" t="s">
        <v>882</v>
      </c>
      <c r="C323" s="132" t="s">
        <v>4</v>
      </c>
      <c r="D323" s="123" t="str">
        <f>IF(Kielivalinta="","",IF(Kielivalinta="Suomi",_xlfn.IFNA(VLOOKUP($A323,Data!$A$2:$C$612,2,FALSE),0),IF(Kielivalinta="Svenska",_xlfn.IFNA(VLOOKUP($B323,Data!$A$2:$C$612,2,FALSE),0))))</f>
        <v/>
      </c>
      <c r="E323" s="123" t="str">
        <f>IF(Kielivalinta="","",IF(Kielivalinta="Suomi",_xlfn.IFNA(VLOOKUP($A323,Data!$A$2:$C$612,3,FALSE),0),IF(Kielivalinta="Svenska",_xlfn.IFNA(VLOOKUP($B323,Data!$A$2:$C$612,3,FALSE),0))))</f>
        <v/>
      </c>
      <c r="F323" s="119"/>
      <c r="G323" s="119"/>
      <c r="H323" s="119"/>
      <c r="I323" s="119"/>
      <c r="J323" s="119"/>
      <c r="Q323" s="122"/>
      <c r="R323" s="119"/>
      <c r="S323" s="119"/>
      <c r="T323" s="119"/>
      <c r="U323" s="119"/>
      <c r="V323" s="119"/>
      <c r="W323" s="119"/>
    </row>
    <row r="324" spans="1:23" x14ac:dyDescent="0.2">
      <c r="A324" s="122" t="s">
        <v>638</v>
      </c>
      <c r="B324" s="122" t="s">
        <v>883</v>
      </c>
      <c r="C324" s="119" t="s">
        <v>34</v>
      </c>
      <c r="D324" s="123" t="str">
        <f>IF(Kielivalinta="","",IF(Kielivalinta="Suomi",_xlfn.IFNA(VLOOKUP($A324,Data!$A$2:$C$612,2,FALSE),0),IF(Kielivalinta="Svenska",_xlfn.IFNA(VLOOKUP($B324,Data!$A$2:$C$612,2,FALSE),0))))</f>
        <v/>
      </c>
      <c r="E324" s="123" t="str">
        <f>IF(Kielivalinta="","",IF(Kielivalinta="Suomi",_xlfn.IFNA(VLOOKUP($A324,Data!$A$2:$C$612,3,FALSE),0),IF(Kielivalinta="Svenska",_xlfn.IFNA(VLOOKUP($B324,Data!$A$2:$C$612,3,FALSE),0))))</f>
        <v/>
      </c>
      <c r="F324" s="119"/>
      <c r="G324" s="119"/>
      <c r="H324" s="119"/>
      <c r="I324" s="119"/>
      <c r="J324" s="119"/>
      <c r="Q324" s="122"/>
      <c r="R324" s="119"/>
      <c r="S324" s="119"/>
      <c r="T324" s="119"/>
      <c r="U324" s="119"/>
      <c r="V324" s="119"/>
      <c r="W324" s="119"/>
    </row>
    <row r="325" spans="1:23" x14ac:dyDescent="0.2">
      <c r="A325" s="122" t="s">
        <v>358</v>
      </c>
      <c r="B325" s="122" t="s">
        <v>884</v>
      </c>
      <c r="C325" s="115"/>
      <c r="D325" s="123" t="str">
        <f>IF(Kielivalinta="","",IF(Kielivalinta="Suomi",_xlfn.IFNA(VLOOKUP($A325,Data!$A$2:$C$612,2,FALSE),0),IF(Kielivalinta="Svenska",_xlfn.IFNA(VLOOKUP($B325,Data!$A$2:$C$612,2,FALSE),0))))</f>
        <v/>
      </c>
      <c r="E325" s="123" t="str">
        <f>IF(Kielivalinta="","",IF(Kielivalinta="Suomi",_xlfn.IFNA(VLOOKUP($A325,Data!$A$2:$C$612,3,FALSE),0),IF(Kielivalinta="Svenska",_xlfn.IFNA(VLOOKUP($B325,Data!$A$2:$C$612,3,FALSE),0))))</f>
        <v/>
      </c>
      <c r="F325" s="119"/>
      <c r="G325" s="119"/>
      <c r="H325" s="119"/>
      <c r="I325" s="119"/>
      <c r="J325" s="119"/>
      <c r="Q325" s="122"/>
      <c r="R325" s="119"/>
      <c r="S325" s="119"/>
      <c r="T325" s="119"/>
      <c r="U325" s="119"/>
      <c r="V325" s="119"/>
      <c r="W325" s="119"/>
    </row>
    <row r="326" spans="1:23" x14ac:dyDescent="0.2">
      <c r="A326" s="122" t="s">
        <v>639</v>
      </c>
      <c r="B326" s="122" t="s">
        <v>885</v>
      </c>
      <c r="C326" s="115"/>
      <c r="D326" s="123" t="str">
        <f>IF(Kielivalinta="","",IF(Kielivalinta="Suomi",_xlfn.IFNA(VLOOKUP($A326,Data!$A$2:$C$612,2,FALSE),0),IF(Kielivalinta="Svenska",_xlfn.IFNA(VLOOKUP($B326,Data!$A$2:$C$612,2,FALSE),0))))</f>
        <v/>
      </c>
      <c r="E326" s="123" t="str">
        <f>IF(Kielivalinta="","",IF(Kielivalinta="Suomi",_xlfn.IFNA(VLOOKUP($A326,Data!$A$2:$C$612,3,FALSE),0),IF(Kielivalinta="Svenska",_xlfn.IFNA(VLOOKUP($B326,Data!$A$2:$C$612,3,FALSE),0))))</f>
        <v/>
      </c>
      <c r="F326" s="119"/>
      <c r="G326" s="119"/>
      <c r="H326" s="119"/>
      <c r="I326" s="119"/>
      <c r="J326" s="119"/>
      <c r="Q326" s="122"/>
      <c r="R326" s="119"/>
      <c r="S326" s="119"/>
      <c r="T326" s="119"/>
      <c r="U326" s="119"/>
      <c r="V326" s="119"/>
      <c r="W326" s="119"/>
    </row>
    <row r="327" spans="1:23" x14ac:dyDescent="0.2">
      <c r="A327" s="122" t="s">
        <v>359</v>
      </c>
      <c r="B327" s="122" t="s">
        <v>886</v>
      </c>
      <c r="C327" s="115"/>
      <c r="D327" s="123" t="str">
        <f>IF(Kielivalinta="","",IF(Kielivalinta="Suomi",_xlfn.IFNA(VLOOKUP($A327,Data!$A$2:$C$612,2,FALSE),0),IF(Kielivalinta="Svenska",_xlfn.IFNA(VLOOKUP($B327,Data!$A$2:$C$612,2,FALSE),0))))</f>
        <v/>
      </c>
      <c r="E327" s="123" t="str">
        <f>IF(Kielivalinta="","",IF(Kielivalinta="Suomi",_xlfn.IFNA(VLOOKUP($A327,Data!$A$2:$C$612,3,FALSE),0),IF(Kielivalinta="Svenska",_xlfn.IFNA(VLOOKUP($B327,Data!$A$2:$C$612,3,FALSE),0))))</f>
        <v/>
      </c>
      <c r="F327" s="119"/>
      <c r="G327" s="119"/>
      <c r="H327" s="119"/>
      <c r="I327" s="119"/>
      <c r="J327" s="119"/>
      <c r="Q327" s="122"/>
      <c r="R327" s="119"/>
      <c r="S327" s="119"/>
      <c r="T327" s="119"/>
      <c r="U327" s="119"/>
      <c r="V327" s="119"/>
      <c r="W327" s="119"/>
    </row>
    <row r="328" spans="1:23" x14ac:dyDescent="0.2">
      <c r="A328" s="122" t="s">
        <v>640</v>
      </c>
      <c r="B328" s="122" t="s">
        <v>887</v>
      </c>
      <c r="C328" s="115"/>
      <c r="D328" s="123" t="str">
        <f>IF(Kielivalinta="","",IF(Kielivalinta="Suomi",_xlfn.IFNA(VLOOKUP($A328,Data!$A$2:$C$612,2,FALSE),0),IF(Kielivalinta="Svenska",_xlfn.IFNA(VLOOKUP($B328,Data!$A$2:$C$612,2,FALSE),0))))</f>
        <v/>
      </c>
      <c r="E328" s="123" t="str">
        <f>IF(Kielivalinta="","",IF(Kielivalinta="Suomi",_xlfn.IFNA(VLOOKUP($A328,Data!$A$2:$C$612,3,FALSE),0),IF(Kielivalinta="Svenska",_xlfn.IFNA(VLOOKUP($B328,Data!$A$2:$C$612,3,FALSE),0))))</f>
        <v/>
      </c>
      <c r="F328" s="119"/>
      <c r="G328" s="119"/>
      <c r="H328" s="119"/>
      <c r="I328" s="119"/>
      <c r="J328" s="119"/>
      <c r="Q328" s="122"/>
      <c r="R328" s="119"/>
      <c r="S328" s="119"/>
      <c r="T328" s="119"/>
      <c r="U328" s="119"/>
      <c r="V328" s="119"/>
      <c r="W328" s="119"/>
    </row>
    <row r="329" spans="1:23" x14ac:dyDescent="0.2">
      <c r="A329" s="122" t="s">
        <v>360</v>
      </c>
      <c r="B329" s="122" t="s">
        <v>888</v>
      </c>
      <c r="C329" s="115"/>
      <c r="D329" s="123" t="str">
        <f>IF(Kielivalinta="","",IF(Kielivalinta="Suomi",_xlfn.IFNA(VLOOKUP($A329,Data!$A$2:$C$612,2,FALSE),0),IF(Kielivalinta="Svenska",_xlfn.IFNA(VLOOKUP($B329,Data!$A$2:$C$612,2,FALSE),0))))</f>
        <v/>
      </c>
      <c r="E329" s="123" t="str">
        <f>IF(Kielivalinta="","",IF(Kielivalinta="Suomi",_xlfn.IFNA(VLOOKUP($A329,Data!$A$2:$C$612,3,FALSE),0),IF(Kielivalinta="Svenska",_xlfn.IFNA(VLOOKUP($B329,Data!$A$2:$C$612,3,FALSE),0))))</f>
        <v/>
      </c>
      <c r="F329" s="119"/>
      <c r="G329" s="119"/>
      <c r="H329" s="119"/>
      <c r="I329" s="119"/>
      <c r="J329" s="119"/>
      <c r="Q329" s="122"/>
      <c r="R329" s="119"/>
      <c r="S329" s="119"/>
      <c r="T329" s="119"/>
      <c r="U329" s="119"/>
      <c r="V329" s="119"/>
      <c r="W329" s="119"/>
    </row>
    <row r="330" spans="1:23" x14ac:dyDescent="0.2">
      <c r="A330" s="122" t="s">
        <v>641</v>
      </c>
      <c r="B330" s="122" t="s">
        <v>889</v>
      </c>
      <c r="C330" s="115"/>
      <c r="D330" s="123" t="str">
        <f>IF(Kielivalinta="","",IF(Kielivalinta="Suomi",_xlfn.IFNA(VLOOKUP($A330,Data!$A$2:$C$612,2,FALSE),0),IF(Kielivalinta="Svenska",_xlfn.IFNA(VLOOKUP($B330,Data!$A$2:$C$612,2,FALSE),0))))</f>
        <v/>
      </c>
      <c r="E330" s="123" t="str">
        <f>IF(Kielivalinta="","",IF(Kielivalinta="Suomi",_xlfn.IFNA(VLOOKUP($A330,Data!$A$2:$C$612,3,FALSE),0),IF(Kielivalinta="Svenska",_xlfn.IFNA(VLOOKUP($B330,Data!$A$2:$C$612,3,FALSE),0))))</f>
        <v/>
      </c>
      <c r="F330" s="119"/>
      <c r="G330" s="119"/>
      <c r="H330" s="119"/>
      <c r="I330" s="119"/>
      <c r="J330" s="119"/>
      <c r="Q330" s="122"/>
      <c r="R330" s="119"/>
      <c r="S330" s="119"/>
      <c r="T330" s="119"/>
      <c r="U330" s="119"/>
      <c r="V330" s="119"/>
      <c r="W330" s="119"/>
    </row>
    <row r="331" spans="1:23" x14ac:dyDescent="0.2">
      <c r="A331" s="122" t="s">
        <v>361</v>
      </c>
      <c r="B331" s="122" t="s">
        <v>890</v>
      </c>
      <c r="C331" s="115"/>
      <c r="D331" s="123" t="str">
        <f>IF(Kielivalinta="","",IF(Kielivalinta="Suomi",_xlfn.IFNA(VLOOKUP($A331,Data!$A$2:$C$612,2,FALSE),0),IF(Kielivalinta="Svenska",_xlfn.IFNA(VLOOKUP($B331,Data!$A$2:$C$612,2,FALSE),0))))</f>
        <v/>
      </c>
      <c r="E331" s="123" t="str">
        <f>IF(Kielivalinta="","",IF(Kielivalinta="Suomi",_xlfn.IFNA(VLOOKUP($A331,Data!$A$2:$C$612,3,FALSE),0),IF(Kielivalinta="Svenska",_xlfn.IFNA(VLOOKUP($B331,Data!$A$2:$C$612,3,FALSE),0))))</f>
        <v/>
      </c>
      <c r="F331" s="119"/>
      <c r="G331" s="119"/>
      <c r="H331" s="119"/>
      <c r="I331" s="119"/>
      <c r="J331" s="119"/>
      <c r="Q331" s="122"/>
      <c r="R331" s="119"/>
      <c r="S331" s="119"/>
      <c r="T331" s="119"/>
      <c r="U331" s="119"/>
      <c r="V331" s="119"/>
      <c r="W331" s="119"/>
    </row>
    <row r="332" spans="1:23" x14ac:dyDescent="0.2">
      <c r="A332" s="122" t="s">
        <v>362</v>
      </c>
      <c r="B332" s="122" t="s">
        <v>891</v>
      </c>
      <c r="C332" s="115"/>
      <c r="D332" s="123" t="str">
        <f>IF(Kielivalinta="","",IF(Kielivalinta="Suomi",_xlfn.IFNA(VLOOKUP($A332,Data!$A$2:$C$612,2,FALSE),0),IF(Kielivalinta="Svenska",_xlfn.IFNA(VLOOKUP($B332,Data!$A$2:$C$612,2,FALSE),0))))</f>
        <v/>
      </c>
      <c r="E332" s="123" t="str">
        <f>IF(Kielivalinta="","",IF(Kielivalinta="Suomi",_xlfn.IFNA(VLOOKUP($A332,Data!$A$2:$C$612,3,FALSE),0),IF(Kielivalinta="Svenska",_xlfn.IFNA(VLOOKUP($B332,Data!$A$2:$C$612,3,FALSE),0))))</f>
        <v/>
      </c>
      <c r="F332" s="119"/>
      <c r="G332" s="119"/>
      <c r="H332" s="119"/>
      <c r="I332" s="119"/>
      <c r="J332" s="119"/>
      <c r="Q332" s="122"/>
      <c r="R332" s="119"/>
      <c r="S332" s="119"/>
      <c r="T332" s="119"/>
      <c r="U332" s="119"/>
      <c r="V332" s="119"/>
      <c r="W332" s="119"/>
    </row>
    <row r="333" spans="1:23" x14ac:dyDescent="0.2">
      <c r="A333" s="122" t="s">
        <v>642</v>
      </c>
      <c r="B333" s="122" t="s">
        <v>892</v>
      </c>
      <c r="C333" s="115"/>
      <c r="D333" s="123" t="str">
        <f>IF(Kielivalinta="","",IF(Kielivalinta="Suomi",_xlfn.IFNA(VLOOKUP($A333,Data!$A$2:$C$612,2,FALSE),0),IF(Kielivalinta="Svenska",_xlfn.IFNA(VLOOKUP($B333,Data!$A$2:$C$612,2,FALSE),0))))</f>
        <v/>
      </c>
      <c r="E333" s="123" t="str">
        <f>IF(Kielivalinta="","",IF(Kielivalinta="Suomi",_xlfn.IFNA(VLOOKUP($A333,Data!$A$2:$C$612,3,FALSE),0),IF(Kielivalinta="Svenska",_xlfn.IFNA(VLOOKUP($B333,Data!$A$2:$C$612,3,FALSE),0))))</f>
        <v/>
      </c>
      <c r="F333" s="119"/>
      <c r="G333" s="119"/>
      <c r="H333" s="119"/>
      <c r="I333" s="119"/>
      <c r="J333" s="119"/>
      <c r="Q333" s="122"/>
      <c r="R333" s="119"/>
      <c r="S333" s="119"/>
      <c r="T333" s="119"/>
      <c r="U333" s="119"/>
      <c r="V333" s="119"/>
      <c r="W333" s="119"/>
    </row>
    <row r="334" spans="1:23" x14ac:dyDescent="0.2">
      <c r="A334" s="122" t="s">
        <v>363</v>
      </c>
      <c r="B334" s="122" t="s">
        <v>893</v>
      </c>
      <c r="C334" s="115"/>
      <c r="D334" s="123" t="str">
        <f>IF(Kielivalinta="","",IF(Kielivalinta="Suomi",_xlfn.IFNA(VLOOKUP($A334,Data!$A$2:$C$612,2,FALSE),0),IF(Kielivalinta="Svenska",_xlfn.IFNA(VLOOKUP($B334,Data!$A$2:$C$612,2,FALSE),0))))</f>
        <v/>
      </c>
      <c r="E334" s="123" t="str">
        <f>IF(Kielivalinta="","",IF(Kielivalinta="Suomi",_xlfn.IFNA(VLOOKUP($A334,Data!$A$2:$C$612,3,FALSE),0),IF(Kielivalinta="Svenska",_xlfn.IFNA(VLOOKUP($B334,Data!$A$2:$C$612,3,FALSE),0))))</f>
        <v/>
      </c>
      <c r="F334" s="119"/>
      <c r="G334" s="119"/>
      <c r="H334" s="119"/>
      <c r="I334" s="119"/>
      <c r="J334" s="119"/>
      <c r="Q334" s="122"/>
      <c r="R334" s="119"/>
      <c r="S334" s="119"/>
      <c r="T334" s="119"/>
      <c r="U334" s="119"/>
      <c r="V334" s="119"/>
      <c r="W334" s="119"/>
    </row>
    <row r="335" spans="1:23" x14ac:dyDescent="0.2">
      <c r="A335" s="122" t="s">
        <v>364</v>
      </c>
      <c r="B335" s="122" t="s">
        <v>894</v>
      </c>
      <c r="C335" s="115"/>
      <c r="D335" s="123" t="str">
        <f>IF(Kielivalinta="","",IF(Kielivalinta="Suomi",_xlfn.IFNA(VLOOKUP($A335,Data!$A$2:$C$612,2,FALSE),0),IF(Kielivalinta="Svenska",_xlfn.IFNA(VLOOKUP($B335,Data!$A$2:$C$612,2,FALSE),0))))</f>
        <v/>
      </c>
      <c r="E335" s="123" t="str">
        <f>IF(Kielivalinta="","",IF(Kielivalinta="Suomi",_xlfn.IFNA(VLOOKUP($A335,Data!$A$2:$C$612,3,FALSE),0),IF(Kielivalinta="Svenska",_xlfn.IFNA(VLOOKUP($B335,Data!$A$2:$C$612,3,FALSE),0))))</f>
        <v/>
      </c>
      <c r="F335" s="119"/>
      <c r="G335" s="119"/>
      <c r="H335" s="119"/>
      <c r="I335" s="119"/>
      <c r="J335" s="119"/>
      <c r="Q335" s="122"/>
      <c r="R335" s="119"/>
      <c r="S335" s="119"/>
      <c r="T335" s="119"/>
      <c r="U335" s="119"/>
      <c r="V335" s="119"/>
      <c r="W335" s="119"/>
    </row>
    <row r="336" spans="1:23" x14ac:dyDescent="0.2">
      <c r="A336" s="122" t="s">
        <v>643</v>
      </c>
      <c r="B336" s="122" t="s">
        <v>895</v>
      </c>
      <c r="C336" s="115"/>
      <c r="D336" s="123" t="str">
        <f>IF(Kielivalinta="","",IF(Kielivalinta="Suomi",_xlfn.IFNA(VLOOKUP($A336,Data!$A$2:$C$612,2,FALSE),0),IF(Kielivalinta="Svenska",_xlfn.IFNA(VLOOKUP($B336,Data!$A$2:$C$612,2,FALSE),0))))</f>
        <v/>
      </c>
      <c r="E336" s="123" t="str">
        <f>IF(Kielivalinta="","",IF(Kielivalinta="Suomi",_xlfn.IFNA(VLOOKUP($A336,Data!$A$2:$C$612,3,FALSE),0),IF(Kielivalinta="Svenska",_xlfn.IFNA(VLOOKUP($B336,Data!$A$2:$C$612,3,FALSE),0))))</f>
        <v/>
      </c>
      <c r="F336" s="119"/>
      <c r="G336" s="119"/>
      <c r="H336" s="119"/>
      <c r="I336" s="119"/>
      <c r="J336" s="119"/>
      <c r="Q336" s="122"/>
      <c r="R336" s="119"/>
      <c r="S336" s="119"/>
      <c r="T336" s="119"/>
      <c r="U336" s="119"/>
      <c r="V336" s="119"/>
      <c r="W336" s="119"/>
    </row>
    <row r="337" spans="1:23" x14ac:dyDescent="0.2">
      <c r="A337" s="122" t="s">
        <v>365</v>
      </c>
      <c r="B337" s="122" t="s">
        <v>896</v>
      </c>
      <c r="C337" s="115"/>
      <c r="D337" s="123" t="str">
        <f>IF(Kielivalinta="","",IF(Kielivalinta="Suomi",_xlfn.IFNA(VLOOKUP($A337,Data!$A$2:$C$612,2,FALSE),0),IF(Kielivalinta="Svenska",_xlfn.IFNA(VLOOKUP($B337,Data!$A$2:$C$612,2,FALSE),0))))</f>
        <v/>
      </c>
      <c r="E337" s="123" t="str">
        <f>IF(Kielivalinta="","",IF(Kielivalinta="Suomi",_xlfn.IFNA(VLOOKUP($A337,Data!$A$2:$C$612,3,FALSE),0),IF(Kielivalinta="Svenska",_xlfn.IFNA(VLOOKUP($B337,Data!$A$2:$C$612,3,FALSE),0))))</f>
        <v/>
      </c>
      <c r="F337" s="119"/>
      <c r="G337" s="119"/>
      <c r="H337" s="119"/>
      <c r="I337" s="119"/>
      <c r="J337" s="119"/>
      <c r="Q337" s="122"/>
      <c r="R337" s="119"/>
      <c r="S337" s="119"/>
      <c r="T337" s="119"/>
      <c r="U337" s="119"/>
      <c r="V337" s="119"/>
      <c r="W337" s="119"/>
    </row>
    <row r="338" spans="1:23" x14ac:dyDescent="0.2">
      <c r="A338" s="122" t="s">
        <v>366</v>
      </c>
      <c r="B338" s="122" t="s">
        <v>897</v>
      </c>
      <c r="C338" s="115"/>
      <c r="D338" s="123" t="str">
        <f>IF(Kielivalinta="","",IF(Kielivalinta="Suomi",_xlfn.IFNA(VLOOKUP($A338,Data!$A$2:$C$612,2,FALSE),0),IF(Kielivalinta="Svenska",_xlfn.IFNA(VLOOKUP($B338,Data!$A$2:$C$612,2,FALSE),0))))</f>
        <v/>
      </c>
      <c r="E338" s="123" t="str">
        <f>IF(Kielivalinta="","",IF(Kielivalinta="Suomi",_xlfn.IFNA(VLOOKUP($A338,Data!$A$2:$C$612,3,FALSE),0),IF(Kielivalinta="Svenska",_xlfn.IFNA(VLOOKUP($B338,Data!$A$2:$C$612,3,FALSE),0))))</f>
        <v/>
      </c>
      <c r="F338" s="119"/>
      <c r="G338" s="119"/>
      <c r="H338" s="119"/>
      <c r="I338" s="119"/>
      <c r="J338" s="119"/>
      <c r="Q338" s="122"/>
      <c r="R338" s="119"/>
      <c r="S338" s="119"/>
      <c r="T338" s="119"/>
      <c r="U338" s="119"/>
      <c r="V338" s="119"/>
      <c r="W338" s="119"/>
    </row>
    <row r="339" spans="1:23" x14ac:dyDescent="0.2">
      <c r="A339" s="122" t="s">
        <v>367</v>
      </c>
      <c r="B339" s="122" t="s">
        <v>898</v>
      </c>
      <c r="C339" s="115"/>
      <c r="D339" s="123" t="str">
        <f>IF(Kielivalinta="","",IF(Kielivalinta="Suomi",_xlfn.IFNA(VLOOKUP($A339,Data!$A$2:$C$612,2,FALSE),0),IF(Kielivalinta="Svenska",_xlfn.IFNA(VLOOKUP($B339,Data!$A$2:$C$612,2,FALSE),0))))</f>
        <v/>
      </c>
      <c r="E339" s="123" t="str">
        <f>IF(Kielivalinta="","",IF(Kielivalinta="Suomi",_xlfn.IFNA(VLOOKUP($A339,Data!$A$2:$C$612,3,FALSE),0),IF(Kielivalinta="Svenska",_xlfn.IFNA(VLOOKUP($B339,Data!$A$2:$C$612,3,FALSE),0))))</f>
        <v/>
      </c>
      <c r="F339" s="119"/>
      <c r="G339" s="119"/>
      <c r="H339" s="119"/>
      <c r="I339" s="119"/>
      <c r="J339" s="119"/>
      <c r="Q339" s="122"/>
      <c r="R339" s="119"/>
      <c r="S339" s="119"/>
      <c r="T339" s="119"/>
      <c r="U339" s="119"/>
      <c r="V339" s="119"/>
      <c r="W339" s="119"/>
    </row>
    <row r="340" spans="1:23" x14ac:dyDescent="0.2">
      <c r="A340" s="122" t="s">
        <v>368</v>
      </c>
      <c r="B340" s="122" t="s">
        <v>899</v>
      </c>
      <c r="C340" s="115"/>
      <c r="D340" s="123" t="str">
        <f>IF(Kielivalinta="","",IF(Kielivalinta="Suomi",_xlfn.IFNA(VLOOKUP($A340,Data!$A$2:$C$612,2,FALSE),0),IF(Kielivalinta="Svenska",_xlfn.IFNA(VLOOKUP($B340,Data!$A$2:$C$612,2,FALSE),0))))</f>
        <v/>
      </c>
      <c r="E340" s="123" t="str">
        <f>IF(Kielivalinta="","",IF(Kielivalinta="Suomi",_xlfn.IFNA(VLOOKUP($A340,Data!$A$2:$C$612,3,FALSE),0),IF(Kielivalinta="Svenska",_xlfn.IFNA(VLOOKUP($B340,Data!$A$2:$C$612,3,FALSE),0))))</f>
        <v/>
      </c>
      <c r="F340" s="119"/>
      <c r="G340" s="119"/>
      <c r="H340" s="119"/>
      <c r="I340" s="119"/>
      <c r="J340" s="119"/>
      <c r="Q340" s="122"/>
      <c r="R340" s="119"/>
      <c r="S340" s="119"/>
      <c r="T340" s="119"/>
      <c r="U340" s="119"/>
      <c r="V340" s="119"/>
      <c r="W340" s="119"/>
    </row>
    <row r="341" spans="1:23" x14ac:dyDescent="0.2">
      <c r="A341" s="122" t="s">
        <v>369</v>
      </c>
      <c r="B341" s="122" t="s">
        <v>369</v>
      </c>
      <c r="C341" s="115"/>
      <c r="D341" s="123" t="str">
        <f>IF(Kielivalinta="","",IF(Kielivalinta="Suomi",_xlfn.IFNA(VLOOKUP($A341,Data!$A$2:$C$612,2,FALSE),0),IF(Kielivalinta="Svenska",_xlfn.IFNA(VLOOKUP($B341,Data!$A$2:$C$612,2,FALSE),0))))</f>
        <v/>
      </c>
      <c r="E341" s="123" t="str">
        <f>IF(Kielivalinta="","",IF(Kielivalinta="Suomi",_xlfn.IFNA(VLOOKUP($A341,Data!$A$2:$C$612,3,FALSE),0),IF(Kielivalinta="Svenska",_xlfn.IFNA(VLOOKUP($B341,Data!$A$2:$C$612,3,FALSE),0))))</f>
        <v/>
      </c>
      <c r="F341" s="119"/>
      <c r="G341" s="119"/>
      <c r="H341" s="119"/>
      <c r="I341" s="119"/>
      <c r="J341" s="119"/>
      <c r="Q341" s="122"/>
      <c r="R341" s="119"/>
      <c r="S341" s="119"/>
      <c r="T341" s="119"/>
      <c r="U341" s="119"/>
      <c r="V341" s="119"/>
      <c r="W341" s="119"/>
    </row>
    <row r="342" spans="1:23" x14ac:dyDescent="0.2">
      <c r="A342" s="122" t="s">
        <v>370</v>
      </c>
      <c r="B342" s="122" t="s">
        <v>900</v>
      </c>
      <c r="C342" s="115"/>
      <c r="D342" s="123" t="str">
        <f>IF(Kielivalinta="","",IF(Kielivalinta="Suomi",_xlfn.IFNA(VLOOKUP($A342,Data!$A$2:$C$612,2,FALSE),0),IF(Kielivalinta="Svenska",_xlfn.IFNA(VLOOKUP($B342,Data!$A$2:$C$612,2,FALSE),0))))</f>
        <v/>
      </c>
      <c r="E342" s="123" t="str">
        <f>IF(Kielivalinta="","",IF(Kielivalinta="Suomi",_xlfn.IFNA(VLOOKUP($A342,Data!$A$2:$C$612,3,FALSE),0),IF(Kielivalinta="Svenska",_xlfn.IFNA(VLOOKUP($B342,Data!$A$2:$C$612,3,FALSE),0))))</f>
        <v/>
      </c>
      <c r="F342" s="119"/>
      <c r="G342" s="119"/>
      <c r="H342" s="119"/>
      <c r="I342" s="119"/>
      <c r="J342" s="119"/>
      <c r="Q342" s="122"/>
      <c r="R342" s="119"/>
      <c r="S342" s="119"/>
      <c r="T342" s="119"/>
      <c r="U342" s="119"/>
      <c r="V342" s="119"/>
      <c r="W342" s="119"/>
    </row>
    <row r="343" spans="1:23" x14ac:dyDescent="0.2">
      <c r="A343" s="122" t="s">
        <v>371</v>
      </c>
      <c r="B343" s="122" t="s">
        <v>901</v>
      </c>
      <c r="C343" s="115"/>
      <c r="D343" s="123" t="str">
        <f>IF(Kielivalinta="","",IF(Kielivalinta="Suomi",_xlfn.IFNA(VLOOKUP($A343,Data!$A$2:$C$612,2,FALSE),0),IF(Kielivalinta="Svenska",_xlfn.IFNA(VLOOKUP($B343,Data!$A$2:$C$612,2,FALSE),0))))</f>
        <v/>
      </c>
      <c r="E343" s="123" t="str">
        <f>IF(Kielivalinta="","",IF(Kielivalinta="Suomi",_xlfn.IFNA(VLOOKUP($A343,Data!$A$2:$C$612,3,FALSE),0),IF(Kielivalinta="Svenska",_xlfn.IFNA(VLOOKUP($B343,Data!$A$2:$C$612,3,FALSE),0))))</f>
        <v/>
      </c>
      <c r="F343" s="119"/>
      <c r="G343" s="119"/>
      <c r="H343" s="119"/>
      <c r="I343" s="119"/>
      <c r="J343" s="119"/>
      <c r="Q343" s="122"/>
      <c r="R343" s="119"/>
      <c r="S343" s="119"/>
      <c r="T343" s="119"/>
      <c r="U343" s="119"/>
      <c r="V343" s="119"/>
      <c r="W343" s="119"/>
    </row>
    <row r="344" spans="1:23" x14ac:dyDescent="0.2">
      <c r="A344" s="122" t="s">
        <v>372</v>
      </c>
      <c r="B344" s="122" t="s">
        <v>902</v>
      </c>
      <c r="C344" s="115"/>
      <c r="D344" s="123" t="str">
        <f>IF(Kielivalinta="","",IF(Kielivalinta="Suomi",_xlfn.IFNA(VLOOKUP($A344,Data!$A$2:$C$612,2,FALSE),0),IF(Kielivalinta="Svenska",_xlfn.IFNA(VLOOKUP($B344,Data!$A$2:$C$612,2,FALSE),0))))</f>
        <v/>
      </c>
      <c r="E344" s="123" t="str">
        <f>IF(Kielivalinta="","",IF(Kielivalinta="Suomi",_xlfn.IFNA(VLOOKUP($A344,Data!$A$2:$C$612,3,FALSE),0),IF(Kielivalinta="Svenska",_xlfn.IFNA(VLOOKUP($B344,Data!$A$2:$C$612,3,FALSE),0))))</f>
        <v/>
      </c>
      <c r="F344" s="119"/>
      <c r="G344" s="119"/>
      <c r="H344" s="119"/>
      <c r="I344" s="119"/>
      <c r="J344" s="119"/>
      <c r="Q344" s="122"/>
      <c r="R344" s="119"/>
      <c r="S344" s="119"/>
      <c r="T344" s="119"/>
      <c r="U344" s="119"/>
      <c r="V344" s="119"/>
      <c r="W344" s="119"/>
    </row>
    <row r="345" spans="1:23" x14ac:dyDescent="0.2">
      <c r="A345" s="122" t="s">
        <v>373</v>
      </c>
      <c r="B345" s="122" t="s">
        <v>903</v>
      </c>
      <c r="C345" s="115"/>
      <c r="D345" s="123" t="str">
        <f>IF(Kielivalinta="","",IF(Kielivalinta="Suomi",_xlfn.IFNA(VLOOKUP($A345,Data!$A$2:$C$612,2,FALSE),0),IF(Kielivalinta="Svenska",_xlfn.IFNA(VLOOKUP($B345,Data!$A$2:$C$612,2,FALSE),0))))</f>
        <v/>
      </c>
      <c r="E345" s="123" t="str">
        <f>IF(Kielivalinta="","",IF(Kielivalinta="Suomi",_xlfn.IFNA(VLOOKUP($A345,Data!$A$2:$C$612,3,FALSE),0),IF(Kielivalinta="Svenska",_xlfn.IFNA(VLOOKUP($B345,Data!$A$2:$C$612,3,FALSE),0))))</f>
        <v/>
      </c>
      <c r="F345" s="137" t="str">
        <f>IF(Kielivalinta="","",IF(Kielivalinta="Suomi","Lainaus ja uusinnat",IF(Kielivalinta="Svenska","Lån och förnyelser")))</f>
        <v/>
      </c>
      <c r="H345" s="119"/>
      <c r="I345" s="119"/>
      <c r="J345" s="119"/>
      <c r="K345" s="119"/>
      <c r="L345" s="119"/>
      <c r="Q345" s="122"/>
      <c r="R345" s="119"/>
      <c r="S345" s="119"/>
      <c r="T345" s="119"/>
      <c r="U345" s="119"/>
      <c r="V345" s="119"/>
      <c r="W345" s="119"/>
    </row>
    <row r="346" spans="1:23" x14ac:dyDescent="0.2">
      <c r="A346" s="122" t="s">
        <v>374</v>
      </c>
      <c r="B346" s="122" t="s">
        <v>904</v>
      </c>
      <c r="C346" s="115"/>
      <c r="D346" s="123" t="str">
        <f>IF(Kielivalinta="","",IF(Kielivalinta="Suomi",_xlfn.IFNA(VLOOKUP($A346,Data!$A$2:$C$612,2,FALSE),0),IF(Kielivalinta="Svenska",_xlfn.IFNA(VLOOKUP($B346,Data!$A$2:$C$612,2,FALSE),0))))</f>
        <v/>
      </c>
      <c r="E346" s="123" t="str">
        <f>IF(Kielivalinta="","",IF(Kielivalinta="Suomi",_xlfn.IFNA(VLOOKUP($A346,Data!$A$2:$C$612,3,FALSE),0),IF(Kielivalinta="Svenska",_xlfn.IFNA(VLOOKUP($B346,Data!$A$2:$C$612,3,FALSE),0))))</f>
        <v/>
      </c>
      <c r="F346" s="122"/>
      <c r="G346" s="138"/>
      <c r="H346" s="138"/>
      <c r="J346" s="122"/>
      <c r="Q346" s="122"/>
      <c r="R346" s="119"/>
      <c r="S346" s="119"/>
      <c r="T346" s="119"/>
      <c r="U346" s="119"/>
      <c r="V346" s="119"/>
      <c r="W346" s="119"/>
    </row>
    <row r="347" spans="1:23" x14ac:dyDescent="0.2">
      <c r="A347" s="119" t="s">
        <v>375</v>
      </c>
      <c r="B347" s="119" t="s">
        <v>1140</v>
      </c>
      <c r="C347" s="115"/>
      <c r="D347" s="123" t="str">
        <f>IF(Kielivalinta="","",IF(Kielivalinta="Suomi",_xlfn.IFNA(VLOOKUP($A347,Data!$A$2:$C$612,2,FALSE),0),IF(Kielivalinta="Svenska",_xlfn.IFNA(VLOOKUP($B347,Data!$A$2:$C$612,2,FALSE),0))))</f>
        <v/>
      </c>
      <c r="E347" s="123" t="str">
        <f>IF(Kielivalinta="","",IF(Kielivalinta="Suomi",_xlfn.IFNA(VLOOKUP($A347,Data!$A$2:$C$612,3,FALSE),0),IF(Kielivalinta="Svenska",_xlfn.IFNA(VLOOKUP($B347,Data!$A$2:$C$612,3,FALSE),0))))</f>
        <v/>
      </c>
      <c r="F347" s="122"/>
      <c r="G347" s="139" t="str">
        <f>RIGHT(Data!$B$3,4)</f>
        <v/>
      </c>
      <c r="H347" s="139" t="str">
        <f>RIGHT(Data!$C$3,4)</f>
        <v/>
      </c>
      <c r="J347" s="122" t="s">
        <v>1294</v>
      </c>
      <c r="Q347" s="119"/>
      <c r="R347" s="119"/>
      <c r="S347" s="119"/>
      <c r="T347" s="119"/>
      <c r="U347" s="119"/>
      <c r="V347" s="119"/>
      <c r="W347" s="119"/>
    </row>
    <row r="348" spans="1:23" x14ac:dyDescent="0.2">
      <c r="A348" s="119" t="s">
        <v>376</v>
      </c>
      <c r="B348" s="119" t="s">
        <v>1141</v>
      </c>
      <c r="C348" s="115"/>
      <c r="D348" s="123" t="str">
        <f>IF(Kielivalinta="","",IF(Kielivalinta="Suomi",_xlfn.IFNA(VLOOKUP($A348,Data!$A$2:$C$612,2,FALSE),0),IF(Kielivalinta="Svenska",_xlfn.IFNA(VLOOKUP($B348,Data!$A$2:$C$612,2,FALSE),0))))</f>
        <v/>
      </c>
      <c r="E348" s="123" t="str">
        <f>IF(Kielivalinta="","",IF(Kielivalinta="Suomi",_xlfn.IFNA(VLOOKUP($A348,Data!$A$2:$C$612,3,FALSE),0),IF(Kielivalinta="Svenska",_xlfn.IFNA(VLOOKUP($B348,Data!$A$2:$C$612,3,FALSE),0))))</f>
        <v/>
      </c>
      <c r="F348" s="131" t="str">
        <f>IF(Kielivalinta="","",IF(Kielivalinta="Suomi","Kotilainat",IF(Kielivalinta="Svenska","Hemlån")))</f>
        <v/>
      </c>
      <c r="G348" s="138" t="str">
        <f>D347</f>
        <v/>
      </c>
      <c r="H348" s="138" t="str">
        <f>E347</f>
        <v/>
      </c>
      <c r="Q348" s="119"/>
      <c r="R348" s="119"/>
      <c r="S348" s="119"/>
      <c r="T348" s="119"/>
      <c r="U348" s="119"/>
      <c r="V348" s="119"/>
      <c r="W348" s="119"/>
    </row>
    <row r="349" spans="1:23" x14ac:dyDescent="0.2">
      <c r="A349" s="119" t="s">
        <v>377</v>
      </c>
      <c r="B349" s="119" t="s">
        <v>1142</v>
      </c>
      <c r="C349" s="115"/>
      <c r="D349" s="123" t="str">
        <f>IF(Kielivalinta="","",IF(Kielivalinta="Suomi",_xlfn.IFNA(VLOOKUP($A349,Data!$A$2:$C$612,2,FALSE),0),IF(Kielivalinta="Svenska",_xlfn.IFNA(VLOOKUP($B349,Data!$A$2:$C$612,2,FALSE),0))))</f>
        <v/>
      </c>
      <c r="E349" s="123" t="str">
        <f>IF(Kielivalinta="","",IF(Kielivalinta="Suomi",_xlfn.IFNA(VLOOKUP($A349,Data!$A$2:$C$612,3,FALSE),0),IF(Kielivalinta="Svenska",_xlfn.IFNA(VLOOKUP($B349,Data!$A$2:$C$612,3,FALSE),0))))</f>
        <v/>
      </c>
      <c r="F349" s="131" t="str">
        <f>IF(Kielivalinta="","",IF(Kielivalinta="Suomi","Lukusalilainat",IF(Kielivalinta="Svenska","Läsesalslån")))</f>
        <v/>
      </c>
      <c r="G349" s="140" t="str">
        <f>D354</f>
        <v/>
      </c>
      <c r="H349" s="140" t="str">
        <f>E354</f>
        <v/>
      </c>
      <c r="Q349" s="119"/>
      <c r="R349" s="119"/>
      <c r="S349" s="119"/>
      <c r="T349" s="119"/>
      <c r="U349" s="119"/>
      <c r="V349" s="119"/>
      <c r="W349" s="119"/>
    </row>
    <row r="350" spans="1:23" x14ac:dyDescent="0.2">
      <c r="A350" s="119" t="s">
        <v>378</v>
      </c>
      <c r="B350" s="119" t="s">
        <v>1143</v>
      </c>
      <c r="C350" s="115"/>
      <c r="D350" s="123" t="str">
        <f>IF(Kielivalinta="","",IF(Kielivalinta="Suomi",_xlfn.IFNA(VLOOKUP($A350,Data!$A$2:$C$612,2,FALSE),0),IF(Kielivalinta="Svenska",_xlfn.IFNA(VLOOKUP($B350,Data!$A$2:$C$612,2,FALSE),0))))</f>
        <v/>
      </c>
      <c r="E350" s="123" t="str">
        <f>IF(Kielivalinta="","",IF(Kielivalinta="Suomi",_xlfn.IFNA(VLOOKUP($A350,Data!$A$2:$C$612,3,FALSE),0),IF(Kielivalinta="Svenska",_xlfn.IFNA(VLOOKUP($B350,Data!$A$2:$C$612,3,FALSE),0))))</f>
        <v/>
      </c>
      <c r="F350" s="131" t="str">
        <f>IF(Kielivalinta="","",IF(Kielivalinta="Suomi","Annetut kaukolainat",IF(Kielivalinta="Svenska","Beviljade fjärrlån")))</f>
        <v/>
      </c>
      <c r="G350" s="138" t="str">
        <f>IFERROR(D360+D371,"")</f>
        <v/>
      </c>
      <c r="H350" s="138" t="str">
        <f>IFERROR(E360+E371,"")</f>
        <v/>
      </c>
      <c r="Q350" s="119"/>
      <c r="R350" s="119"/>
      <c r="S350" s="119"/>
      <c r="T350" s="119"/>
      <c r="U350" s="119"/>
      <c r="V350" s="119"/>
      <c r="W350" s="119"/>
    </row>
    <row r="351" spans="1:23" x14ac:dyDescent="0.2">
      <c r="A351" s="119" t="s">
        <v>379</v>
      </c>
      <c r="B351" s="119" t="s">
        <v>1144</v>
      </c>
      <c r="C351" s="115"/>
      <c r="D351" s="123" t="str">
        <f>IF(Kielivalinta="","",IF(Kielivalinta="Suomi",_xlfn.IFNA(VLOOKUP($A351,Data!$A$2:$C$612,2,FALSE),0),IF(Kielivalinta="Svenska",_xlfn.IFNA(VLOOKUP($B351,Data!$A$2:$C$612,2,FALSE),0))))</f>
        <v/>
      </c>
      <c r="E351" s="123" t="str">
        <f>IF(Kielivalinta="","",IF(Kielivalinta="Suomi",_xlfn.IFNA(VLOOKUP($A351,Data!$A$2:$C$612,3,FALSE),0),IF(Kielivalinta="Svenska",_xlfn.IFNA(VLOOKUP($B351,Data!$A$2:$C$612,3,FALSE),0))))</f>
        <v/>
      </c>
      <c r="F351" s="131" t="str">
        <f>IF(Kielivalinta="","",IF(Kielivalinta="Suomi","Uusinnat",IF(Kielivalinta="Svenska","Förnyelser")))</f>
        <v/>
      </c>
      <c r="G351" s="138" t="str">
        <f>D350</f>
        <v/>
      </c>
      <c r="H351" s="138" t="str">
        <f>E350</f>
        <v/>
      </c>
      <c r="Q351" s="119"/>
      <c r="R351" s="119"/>
      <c r="S351" s="119"/>
      <c r="T351" s="119"/>
      <c r="U351" s="119"/>
      <c r="V351" s="119"/>
      <c r="W351" s="119"/>
    </row>
    <row r="352" spans="1:23" x14ac:dyDescent="0.2">
      <c r="A352" s="119" t="s">
        <v>380</v>
      </c>
      <c r="B352" s="119" t="s">
        <v>1145</v>
      </c>
      <c r="C352" s="115"/>
      <c r="D352" s="123" t="str">
        <f>IF(Kielivalinta="","",IF(Kielivalinta="Suomi",_xlfn.IFNA(VLOOKUP($A352,Data!$A$2:$C$612,2,FALSE),0),IF(Kielivalinta="Svenska",_xlfn.IFNA(VLOOKUP($B352,Data!$A$2:$C$612,2,FALSE),0))))</f>
        <v/>
      </c>
      <c r="E352" s="123" t="str">
        <f>IF(Kielivalinta="","",IF(Kielivalinta="Suomi",_xlfn.IFNA(VLOOKUP($A352,Data!$A$2:$C$612,3,FALSE),0),IF(Kielivalinta="Svenska",_xlfn.IFNA(VLOOKUP($B352,Data!$A$2:$C$612,3,FALSE),0))))</f>
        <v/>
      </c>
      <c r="F352" s="137" t="str">
        <f>IF(Kielivalinta="","",IF(Kielivalinta="Suomi","Yhteensä",IF(Kielivalinta="Svenska","Tillsammans")))</f>
        <v/>
      </c>
      <c r="G352" s="141">
        <f>SUM(G348:G351)</f>
        <v>0</v>
      </c>
      <c r="H352" s="141">
        <f>SUM(H348:H351)</f>
        <v>0</v>
      </c>
      <c r="Q352" s="119"/>
      <c r="R352" s="119"/>
      <c r="S352" s="119"/>
      <c r="T352" s="119"/>
      <c r="U352" s="119"/>
      <c r="V352" s="119"/>
      <c r="W352" s="119"/>
    </row>
    <row r="353" spans="1:23" x14ac:dyDescent="0.2">
      <c r="A353" s="122" t="s">
        <v>381</v>
      </c>
      <c r="B353" s="122" t="s">
        <v>905</v>
      </c>
      <c r="C353" s="115"/>
      <c r="D353" s="123" t="str">
        <f>IF(Kielivalinta="","",IF(Kielivalinta="Suomi",_xlfn.IFNA(VLOOKUP($A353,Data!$A$2:$C$612,2,FALSE),0),IF(Kielivalinta="Svenska",_xlfn.IFNA(VLOOKUP($B353,Data!$A$2:$C$612,2,FALSE),0))))</f>
        <v/>
      </c>
      <c r="E353" s="123" t="str">
        <f>IF(Kielivalinta="","",IF(Kielivalinta="Suomi",_xlfn.IFNA(VLOOKUP($A353,Data!$A$2:$C$612,3,FALSE),0),IF(Kielivalinta="Svenska",_xlfn.IFNA(VLOOKUP($B353,Data!$A$2:$C$612,3,FALSE),0))))</f>
        <v/>
      </c>
      <c r="F353" s="122"/>
      <c r="G353" s="138"/>
      <c r="H353" s="138"/>
      <c r="Q353" s="122"/>
      <c r="R353" s="119"/>
      <c r="S353" s="119"/>
      <c r="T353" s="119"/>
      <c r="U353" s="119"/>
      <c r="V353" s="119"/>
      <c r="W353" s="119"/>
    </row>
    <row r="354" spans="1:23" x14ac:dyDescent="0.2">
      <c r="A354" s="119" t="s">
        <v>382</v>
      </c>
      <c r="B354" s="119" t="s">
        <v>1146</v>
      </c>
      <c r="C354" s="115"/>
      <c r="D354" s="123" t="str">
        <f>IF(Kielivalinta="","",IF(Kielivalinta="Suomi",_xlfn.IFNA(VLOOKUP($A354,Data!$A$2:$C$612,2,FALSE),0),IF(Kielivalinta="Svenska",_xlfn.IFNA(VLOOKUP($B354,Data!$A$2:$C$612,2,FALSE),0))))</f>
        <v/>
      </c>
      <c r="E354" s="123" t="str">
        <f>IF(Kielivalinta="","",IF(Kielivalinta="Suomi",_xlfn.IFNA(VLOOKUP($A354,Data!$A$2:$C$612,3,FALSE),0),IF(Kielivalinta="Svenska",_xlfn.IFNA(VLOOKUP($B354,Data!$A$2:$C$612,3,FALSE),0))))</f>
        <v/>
      </c>
      <c r="F354" s="122"/>
      <c r="G354" s="139" t="str">
        <f>RIGHT(Data!$B$3,4)</f>
        <v/>
      </c>
      <c r="H354" s="139" t="str">
        <f>RIGHT(Data!$C$3,4)</f>
        <v/>
      </c>
      <c r="Q354" s="119"/>
      <c r="R354" s="119"/>
      <c r="S354" s="119"/>
      <c r="T354" s="119"/>
      <c r="U354" s="119"/>
      <c r="V354" s="119"/>
      <c r="W354" s="119"/>
    </row>
    <row r="355" spans="1:23" x14ac:dyDescent="0.2">
      <c r="A355" s="122" t="s">
        <v>383</v>
      </c>
      <c r="B355" s="122" t="s">
        <v>906</v>
      </c>
      <c r="C355" s="115"/>
      <c r="D355" s="123" t="str">
        <f>IF(Kielivalinta="","",IF(Kielivalinta="Suomi",_xlfn.IFNA(VLOOKUP($A355,Data!$A$2:$C$612,2,FALSE),0),IF(Kielivalinta="Svenska",_xlfn.IFNA(VLOOKUP($B355,Data!$A$2:$C$612,2,FALSE),0))))</f>
        <v/>
      </c>
      <c r="E355" s="123" t="str">
        <f>IF(Kielivalinta="","",IF(Kielivalinta="Suomi",_xlfn.IFNA(VLOOKUP($A355,Data!$A$2:$C$612,3,FALSE),0),IF(Kielivalinta="Svenska",_xlfn.IFNA(VLOOKUP($B355,Data!$A$2:$C$612,3,FALSE),0))))</f>
        <v/>
      </c>
      <c r="F355" s="133" t="s">
        <v>42</v>
      </c>
      <c r="G355" s="138" t="str">
        <f>IFERROR(D347+D354+D360+D371+D378,"")</f>
        <v/>
      </c>
      <c r="H355" s="138" t="str">
        <f>IFERROR(E347+E354+E360+E371+E378,"")</f>
        <v/>
      </c>
      <c r="I355" s="113" t="s">
        <v>41</v>
      </c>
      <c r="Q355" s="122"/>
      <c r="R355" s="119"/>
      <c r="S355" s="119"/>
      <c r="T355" s="119"/>
      <c r="U355" s="119"/>
      <c r="V355" s="119"/>
      <c r="W355" s="119"/>
    </row>
    <row r="356" spans="1:23" x14ac:dyDescent="0.2">
      <c r="A356" s="119" t="s">
        <v>384</v>
      </c>
      <c r="B356" s="119" t="s">
        <v>1147</v>
      </c>
      <c r="C356" s="115"/>
      <c r="D356" s="123" t="str">
        <f>IF(Kielivalinta="","",IF(Kielivalinta="Suomi",_xlfn.IFNA(VLOOKUP($A356,Data!$A$2:$C$612,2,FALSE),0),IF(Kielivalinta="Svenska",_xlfn.IFNA(VLOOKUP($B356,Data!$A$2:$C$612,2,FALSE),0))))</f>
        <v/>
      </c>
      <c r="E356" s="123" t="str">
        <f>IF(Kielivalinta="","",IF(Kielivalinta="Suomi",_xlfn.IFNA(VLOOKUP($A356,Data!$A$2:$C$612,3,FALSE),0),IF(Kielivalinta="Svenska",_xlfn.IFNA(VLOOKUP($B356,Data!$A$2:$C$612,3,FALSE),0))))</f>
        <v/>
      </c>
      <c r="F356" s="133" t="s">
        <v>6</v>
      </c>
      <c r="G356" s="140" t="str">
        <f>D350</f>
        <v/>
      </c>
      <c r="H356" s="140" t="str">
        <f>E350</f>
        <v/>
      </c>
      <c r="I356" s="122" t="s">
        <v>8</v>
      </c>
      <c r="K356" s="122" t="s">
        <v>7</v>
      </c>
      <c r="Q356" s="119"/>
      <c r="R356" s="119"/>
      <c r="S356" s="119"/>
      <c r="T356" s="119"/>
      <c r="U356" s="119"/>
      <c r="V356" s="119"/>
      <c r="W356" s="119"/>
    </row>
    <row r="357" spans="1:23" x14ac:dyDescent="0.2">
      <c r="A357" s="122" t="s">
        <v>385</v>
      </c>
      <c r="B357" s="122" t="s">
        <v>907</v>
      </c>
      <c r="C357" s="115"/>
      <c r="D357" s="123" t="str">
        <f>IF(Kielivalinta="","",IF(Kielivalinta="Suomi",_xlfn.IFNA(VLOOKUP($A357,Data!$A$2:$C$612,2,FALSE),0),IF(Kielivalinta="Svenska",_xlfn.IFNA(VLOOKUP($B357,Data!$A$2:$C$612,2,FALSE),0))))</f>
        <v/>
      </c>
      <c r="E357" s="123" t="str">
        <f>IF(Kielivalinta="","",IF(Kielivalinta="Suomi",_xlfn.IFNA(VLOOKUP($A357,Data!$A$2:$C$612,3,FALSE),0),IF(Kielivalinta="Svenska",_xlfn.IFNA(VLOOKUP($B357,Data!$A$2:$C$612,3,FALSE),0))))</f>
        <v/>
      </c>
      <c r="F357" s="134" t="s">
        <v>4</v>
      </c>
      <c r="G357" s="142">
        <f>SUM(G355:G356)</f>
        <v>0</v>
      </c>
      <c r="H357" s="142">
        <f>SUM(H355:H356)</f>
        <v>0</v>
      </c>
      <c r="I357" s="116" t="s">
        <v>51</v>
      </c>
      <c r="K357" s="114" t="s">
        <v>1295</v>
      </c>
      <c r="Q357" s="122"/>
      <c r="R357" s="119"/>
      <c r="S357" s="119"/>
      <c r="T357" s="119"/>
      <c r="U357" s="119"/>
      <c r="V357" s="119"/>
      <c r="W357" s="119"/>
    </row>
    <row r="358" spans="1:23" x14ac:dyDescent="0.2">
      <c r="A358" s="119" t="s">
        <v>386</v>
      </c>
      <c r="B358" s="119" t="s">
        <v>1148</v>
      </c>
      <c r="C358" s="115"/>
      <c r="D358" s="123" t="str">
        <f>IF(Kielivalinta="","",IF(Kielivalinta="Suomi",_xlfn.IFNA(VLOOKUP($A358,Data!$A$2:$C$612,2,FALSE),0),IF(Kielivalinta="Svenska",_xlfn.IFNA(VLOOKUP($B358,Data!$A$2:$C$612,2,FALSE),0))))</f>
        <v/>
      </c>
      <c r="E358" s="123" t="str">
        <f>IF(Kielivalinta="","",IF(Kielivalinta="Suomi",_xlfn.IFNA(VLOOKUP($A358,Data!$A$2:$C$612,3,FALSE),0),IF(Kielivalinta="Svenska",_xlfn.IFNA(VLOOKUP($B358,Data!$A$2:$C$612,3,FALSE),0))))</f>
        <v/>
      </c>
      <c r="F358" s="122"/>
      <c r="K358" s="114" t="s">
        <v>48</v>
      </c>
      <c r="O358" s="119"/>
      <c r="Q358" s="119"/>
      <c r="R358" s="119"/>
      <c r="S358" s="119"/>
      <c r="T358" s="119"/>
      <c r="U358" s="119"/>
      <c r="V358" s="119"/>
      <c r="W358" s="119"/>
    </row>
    <row r="359" spans="1:23" x14ac:dyDescent="0.2">
      <c r="A359" s="122" t="s">
        <v>387</v>
      </c>
      <c r="B359" s="122" t="s">
        <v>908</v>
      </c>
      <c r="C359" s="115"/>
      <c r="D359" s="123" t="str">
        <f>IF(Kielivalinta="","",IF(Kielivalinta="Suomi",_xlfn.IFNA(VLOOKUP($A359,Data!$A$2:$C$612,2,FALSE),0),IF(Kielivalinta="Svenska",_xlfn.IFNA(VLOOKUP($B359,Data!$A$2:$C$612,2,FALSE),0))))</f>
        <v/>
      </c>
      <c r="E359" s="123" t="str">
        <f>IF(Kielivalinta="","",IF(Kielivalinta="Suomi",_xlfn.IFNA(VLOOKUP($A359,Data!$A$2:$C$612,3,FALSE),0),IF(Kielivalinta="Svenska",_xlfn.IFNA(VLOOKUP($B359,Data!$A$2:$C$612,3,FALSE),0))))</f>
        <v/>
      </c>
      <c r="F359" s="122" t="s">
        <v>52</v>
      </c>
      <c r="G359" s="140" t="str">
        <f>IFERROR(D347+D354+D365+D371,"")</f>
        <v/>
      </c>
      <c r="H359" s="140" t="str">
        <f>IFERROR(E347+E354+E365+E371,"")</f>
        <v/>
      </c>
      <c r="K359" s="114" t="s">
        <v>49</v>
      </c>
      <c r="M359" s="143" t="s">
        <v>46</v>
      </c>
      <c r="N359" s="114" t="s">
        <v>43</v>
      </c>
      <c r="Q359" s="122"/>
      <c r="R359" s="119"/>
      <c r="S359" s="119"/>
      <c r="T359" s="119"/>
      <c r="U359" s="119"/>
      <c r="V359" s="119"/>
      <c r="W359" s="119"/>
    </row>
    <row r="360" spans="1:23" x14ac:dyDescent="0.2">
      <c r="A360" s="119" t="s">
        <v>388</v>
      </c>
      <c r="B360" s="119" t="s">
        <v>1149</v>
      </c>
      <c r="C360" s="115"/>
      <c r="D360" s="123" t="str">
        <f>IF(Kielivalinta="","",IF(Kielivalinta="Suomi",_xlfn.IFNA(VLOOKUP($A360,Data!$A$2:$C$612,2,FALSE),0),IF(Kielivalinta="Svenska",_xlfn.IFNA(VLOOKUP($B360,Data!$A$2:$C$612,2,FALSE),0))))</f>
        <v/>
      </c>
      <c r="E360" s="123" t="str">
        <f>IF(Kielivalinta="","",IF(Kielivalinta="Suomi",_xlfn.IFNA(VLOOKUP($A360,Data!$A$2:$C$612,3,FALSE),0),IF(Kielivalinta="Svenska",_xlfn.IFNA(VLOOKUP($B360,Data!$A$2:$C$612,3,FALSE),0))))</f>
        <v/>
      </c>
      <c r="F360" s="122"/>
      <c r="G360" s="140" t="str">
        <f>IFERROR(G359-G355,"")</f>
        <v/>
      </c>
      <c r="H360" s="140" t="str">
        <f>IFERROR(H359-H355,"")</f>
        <v/>
      </c>
      <c r="M360" s="120" t="s">
        <v>44</v>
      </c>
      <c r="N360" s="140">
        <v>84581370</v>
      </c>
      <c r="Q360" s="119"/>
      <c r="R360" s="119"/>
      <c r="S360" s="119"/>
      <c r="T360" s="119"/>
      <c r="U360" s="119"/>
      <c r="V360" s="119"/>
      <c r="W360" s="119"/>
    </row>
    <row r="361" spans="1:23" x14ac:dyDescent="0.2">
      <c r="A361" s="119" t="s">
        <v>649</v>
      </c>
      <c r="B361" s="119" t="s">
        <v>1150</v>
      </c>
      <c r="C361" s="115"/>
      <c r="D361" s="123" t="str">
        <f>IF(Kielivalinta="","",IF(Kielivalinta="Suomi",_xlfn.IFNA(VLOOKUP($A361,Data!$A$2:$C$612,2,FALSE),0),IF(Kielivalinta="Svenska",_xlfn.IFNA(VLOOKUP($B361,Data!$A$2:$C$612,2,FALSE),0))))</f>
        <v/>
      </c>
      <c r="E361" s="123" t="str">
        <f>IF(Kielivalinta="","",IF(Kielivalinta="Suomi",_xlfn.IFNA(VLOOKUP($A361,Data!$A$2:$C$612,3,FALSE),0),IF(Kielivalinta="Svenska",_xlfn.IFNA(VLOOKUP($B361,Data!$A$2:$C$612,3,FALSE),0))))</f>
        <v/>
      </c>
      <c r="F361" s="122"/>
      <c r="M361" s="120" t="s">
        <v>45</v>
      </c>
      <c r="N361" s="140">
        <v>84478895</v>
      </c>
      <c r="Q361" s="119"/>
      <c r="R361" s="119"/>
      <c r="S361" s="119"/>
      <c r="T361" s="119"/>
      <c r="U361" s="119"/>
      <c r="V361" s="119"/>
      <c r="W361" s="119"/>
    </row>
    <row r="362" spans="1:23" x14ac:dyDescent="0.2">
      <c r="A362" s="122" t="s">
        <v>645</v>
      </c>
      <c r="B362" s="122" t="s">
        <v>909</v>
      </c>
      <c r="C362" s="115"/>
      <c r="D362" s="123" t="str">
        <f>IF(Kielivalinta="","",IF(Kielivalinta="Suomi",_xlfn.IFNA(VLOOKUP($A362,Data!$A$2:$C$612,2,FALSE),0),IF(Kielivalinta="Svenska",_xlfn.IFNA(VLOOKUP($B362,Data!$A$2:$C$612,2,FALSE),0))))</f>
        <v/>
      </c>
      <c r="E362" s="123" t="str">
        <f>IF(Kielivalinta="","",IF(Kielivalinta="Suomi",_xlfn.IFNA(VLOOKUP($A362,Data!$A$2:$C$612,3,FALSE),0),IF(Kielivalinta="Svenska",_xlfn.IFNA(VLOOKUP($B362,Data!$A$2:$C$612,3,FALSE),0))))</f>
        <v/>
      </c>
      <c r="F362" s="122"/>
      <c r="M362" s="120" t="s">
        <v>47</v>
      </c>
      <c r="N362" s="140">
        <f>N360-N361</f>
        <v>102475</v>
      </c>
      <c r="O362" s="114" t="s">
        <v>50</v>
      </c>
      <c r="Q362" s="122"/>
      <c r="R362" s="119"/>
      <c r="S362" s="119"/>
      <c r="T362" s="119"/>
      <c r="U362" s="119"/>
      <c r="V362" s="119"/>
      <c r="W362" s="119"/>
    </row>
    <row r="363" spans="1:23" x14ac:dyDescent="0.2">
      <c r="A363" s="119" t="s">
        <v>650</v>
      </c>
      <c r="B363" s="119" t="s">
        <v>1151</v>
      </c>
      <c r="C363" s="115"/>
      <c r="D363" s="123" t="str">
        <f>IF(Kielivalinta="","",IF(Kielivalinta="Suomi",_xlfn.IFNA(VLOOKUP($A363,Data!$A$2:$C$612,2,FALSE),0),IF(Kielivalinta="Svenska",_xlfn.IFNA(VLOOKUP($B363,Data!$A$2:$C$612,2,FALSE),0))))</f>
        <v/>
      </c>
      <c r="E363" s="123" t="str">
        <f>IF(Kielivalinta="","",IF(Kielivalinta="Suomi",_xlfn.IFNA(VLOOKUP($A363,Data!$A$2:$C$612,3,FALSE),0),IF(Kielivalinta="Svenska",_xlfn.IFNA(VLOOKUP($B363,Data!$A$2:$C$612,3,FALSE),0))))</f>
        <v/>
      </c>
      <c r="F363" s="122"/>
      <c r="G363" s="139" t="str">
        <f>RIGHT(Data!$B$3,4)</f>
        <v/>
      </c>
      <c r="H363" s="139" t="str">
        <f>RIGHT(Data!$C$3,4)</f>
        <v/>
      </c>
      <c r="J363" s="114" t="s">
        <v>58</v>
      </c>
      <c r="K363" s="139" t="str">
        <f>RIGHT(Data!$B$3,4)</f>
        <v/>
      </c>
      <c r="L363" s="139" t="str">
        <f>RIGHT(Data!$C$3,4)</f>
        <v/>
      </c>
      <c r="Q363" s="119"/>
      <c r="R363" s="119"/>
      <c r="S363" s="119"/>
      <c r="T363" s="119"/>
      <c r="U363" s="119"/>
      <c r="V363" s="119"/>
      <c r="W363" s="119"/>
    </row>
    <row r="364" spans="1:23" x14ac:dyDescent="0.2">
      <c r="A364" s="119" t="s">
        <v>389</v>
      </c>
      <c r="B364" s="119" t="s">
        <v>1152</v>
      </c>
      <c r="C364" s="115"/>
      <c r="D364" s="123" t="str">
        <f>IF(Kielivalinta="","",IF(Kielivalinta="Suomi",_xlfn.IFNA(VLOOKUP($A364,Data!$A$2:$C$612,2,FALSE),0),IF(Kielivalinta="Svenska",_xlfn.IFNA(VLOOKUP($B364,Data!$A$2:$C$612,2,FALSE),0))))</f>
        <v/>
      </c>
      <c r="E364" s="123" t="str">
        <f>IF(Kielivalinta="","",IF(Kielivalinta="Suomi",_xlfn.IFNA(VLOOKUP($A364,Data!$A$2:$C$612,3,FALSE),0),IF(Kielivalinta="Svenska",_xlfn.IFNA(VLOOKUP($B364,Data!$A$2:$C$612,3,FALSE),0))))</f>
        <v/>
      </c>
      <c r="F364" s="133" t="s">
        <v>54</v>
      </c>
      <c r="G364" s="140" t="str">
        <f>D352</f>
        <v/>
      </c>
      <c r="H364" s="140" t="str">
        <f>E352</f>
        <v/>
      </c>
      <c r="J364" s="114" t="s">
        <v>56</v>
      </c>
      <c r="K364" s="140" t="str">
        <f>IFERROR(D360+D371,"")</f>
        <v/>
      </c>
      <c r="L364" s="140" t="str">
        <f>IFERROR(E360+E371,"")</f>
        <v/>
      </c>
      <c r="Q364" s="119"/>
      <c r="R364" s="119"/>
      <c r="S364" s="119"/>
      <c r="T364" s="119"/>
      <c r="U364" s="119"/>
      <c r="V364" s="119"/>
      <c r="W364" s="119"/>
    </row>
    <row r="365" spans="1:23" x14ac:dyDescent="0.2">
      <c r="A365" s="119" t="s">
        <v>390</v>
      </c>
      <c r="B365" s="119" t="s">
        <v>1153</v>
      </c>
      <c r="C365" s="115"/>
      <c r="D365" s="123" t="str">
        <f>IF(Kielivalinta="","",IF(Kielivalinta="Suomi",_xlfn.IFNA(VLOOKUP($A365,Data!$A$2:$C$612,2,FALSE),0),IF(Kielivalinta="Svenska",_xlfn.IFNA(VLOOKUP($B365,Data!$A$2:$C$612,2,FALSE),0))))</f>
        <v/>
      </c>
      <c r="E365" s="123" t="str">
        <f>IF(Kielivalinta="","",IF(Kielivalinta="Suomi",_xlfn.IFNA(VLOOKUP($A365,Data!$A$2:$C$612,3,FALSE),0),IF(Kielivalinta="Svenska",_xlfn.IFNA(VLOOKUP($B365,Data!$A$2:$C$612,3,FALSE),0))))</f>
        <v/>
      </c>
      <c r="F365" s="133" t="s">
        <v>53</v>
      </c>
      <c r="G365" s="140" t="str">
        <f>D351</f>
        <v/>
      </c>
      <c r="H365" s="140" t="str">
        <f>E351</f>
        <v/>
      </c>
      <c r="I365" s="140"/>
      <c r="J365" s="140" t="s">
        <v>57</v>
      </c>
      <c r="K365" s="140" t="str">
        <f>IFERROR(D365+D376,"")</f>
        <v/>
      </c>
      <c r="L365" s="140" t="str">
        <f>IFERROR(E365+E376,"")</f>
        <v/>
      </c>
      <c r="M365" s="140"/>
      <c r="Q365" s="119"/>
      <c r="R365" s="119"/>
      <c r="S365" s="119"/>
      <c r="T365" s="119"/>
      <c r="U365" s="119"/>
      <c r="V365" s="119"/>
      <c r="W365" s="119"/>
    </row>
    <row r="366" spans="1:23" x14ac:dyDescent="0.2">
      <c r="A366" s="119" t="s">
        <v>391</v>
      </c>
      <c r="B366" s="119" t="s">
        <v>1154</v>
      </c>
      <c r="C366" s="115"/>
      <c r="D366" s="123" t="str">
        <f>IF(Kielivalinta="","",IF(Kielivalinta="Suomi",_xlfn.IFNA(VLOOKUP($A366,Data!$A$2:$C$612,2,FALSE),0),IF(Kielivalinta="Svenska",_xlfn.IFNA(VLOOKUP($B366,Data!$A$2:$C$612,2,FALSE),0))))</f>
        <v/>
      </c>
      <c r="E366" s="123" t="str">
        <f>IF(Kielivalinta="","",IF(Kielivalinta="Suomi",_xlfn.IFNA(VLOOKUP($A366,Data!$A$2:$C$612,3,FALSE),0),IF(Kielivalinta="Svenska",_xlfn.IFNA(VLOOKUP($B366,Data!$A$2:$C$612,3,FALSE),0))))</f>
        <v/>
      </c>
      <c r="F366" s="144" t="s">
        <v>55</v>
      </c>
      <c r="G366" s="135">
        <f>SUM(G364:G365)</f>
        <v>0</v>
      </c>
      <c r="H366" s="135">
        <f>SUM(H364:H365)</f>
        <v>0</v>
      </c>
      <c r="I366" s="140"/>
      <c r="J366" s="142" t="s">
        <v>4</v>
      </c>
      <c r="K366" s="142">
        <f>SUM(K364:K365)</f>
        <v>0</v>
      </c>
      <c r="L366" s="142">
        <f>SUM(L364:L365)</f>
        <v>0</v>
      </c>
      <c r="M366" s="140"/>
      <c r="Q366" s="119"/>
      <c r="R366" s="119"/>
      <c r="S366" s="119"/>
      <c r="T366" s="119"/>
      <c r="U366" s="119"/>
      <c r="V366" s="119"/>
      <c r="W366" s="119"/>
    </row>
    <row r="367" spans="1:23" x14ac:dyDescent="0.2">
      <c r="A367" s="122" t="s">
        <v>392</v>
      </c>
      <c r="B367" s="122" t="s">
        <v>910</v>
      </c>
      <c r="C367" s="115"/>
      <c r="D367" s="123" t="str">
        <f>IF(Kielivalinta="","",IF(Kielivalinta="Suomi",_xlfn.IFNA(VLOOKUP($A367,Data!$A$2:$C$612,2,FALSE),0),IF(Kielivalinta="Svenska",_xlfn.IFNA(VLOOKUP($B367,Data!$A$2:$C$612,2,FALSE),0))))</f>
        <v/>
      </c>
      <c r="E367" s="123" t="str">
        <f>IF(Kielivalinta="","",IF(Kielivalinta="Suomi",_xlfn.IFNA(VLOOKUP($A367,Data!$A$2:$C$612,3,FALSE),0),IF(Kielivalinta="Svenska",_xlfn.IFNA(VLOOKUP($B367,Data!$A$2:$C$612,3,FALSE),0))))</f>
        <v/>
      </c>
      <c r="F367" s="123"/>
      <c r="G367" s="123"/>
      <c r="H367" s="140"/>
      <c r="I367" s="140"/>
      <c r="J367" s="122" t="s">
        <v>9</v>
      </c>
      <c r="K367" s="140"/>
      <c r="L367" s="140"/>
      <c r="M367" s="140"/>
      <c r="Q367" s="122"/>
      <c r="R367" s="119"/>
      <c r="S367" s="119"/>
      <c r="T367" s="119"/>
      <c r="U367" s="119"/>
      <c r="V367" s="119"/>
      <c r="W367" s="119"/>
    </row>
    <row r="368" spans="1:23" x14ac:dyDescent="0.2">
      <c r="A368" s="119" t="s">
        <v>393</v>
      </c>
      <c r="B368" s="119" t="s">
        <v>1155</v>
      </c>
      <c r="C368" s="115"/>
      <c r="D368" s="123" t="str">
        <f>IF(Kielivalinta="","",IF(Kielivalinta="Suomi",_xlfn.IFNA(VLOOKUP($A368,Data!$A$2:$C$612,2,FALSE),0),IF(Kielivalinta="Svenska",_xlfn.IFNA(VLOOKUP($B368,Data!$A$2:$C$612,2,FALSE),0))))</f>
        <v/>
      </c>
      <c r="E368" s="123" t="str">
        <f>IF(Kielivalinta="","",IF(Kielivalinta="Suomi",_xlfn.IFNA(VLOOKUP($A368,Data!$A$2:$C$612,3,FALSE),0),IF(Kielivalinta="Svenska",_xlfn.IFNA(VLOOKUP($B368,Data!$A$2:$C$612,3,FALSE),0))))</f>
        <v/>
      </c>
      <c r="F368" s="122" t="str">
        <f>IF(Kielivalinta="","",IF(Kielivalinta="Suomi","Kirjaston ulkoinen vaikuttavuus",IF(Kielivalinta="Svenska","Bibliotekets yttre genomslag")))</f>
        <v/>
      </c>
      <c r="G368" s="123"/>
      <c r="H368" s="140"/>
      <c r="I368" s="140"/>
      <c r="J368" s="140"/>
      <c r="K368" s="140"/>
      <c r="L368" s="140"/>
      <c r="M368" s="140"/>
      <c r="Q368" s="119"/>
      <c r="R368" s="119"/>
      <c r="S368" s="119"/>
      <c r="T368" s="119"/>
      <c r="U368" s="119"/>
      <c r="V368" s="119"/>
      <c r="W368" s="119"/>
    </row>
    <row r="369" spans="1:23" x14ac:dyDescent="0.2">
      <c r="A369" s="119" t="s">
        <v>394</v>
      </c>
      <c r="B369" s="119" t="s">
        <v>1156</v>
      </c>
      <c r="C369" s="115"/>
      <c r="D369" s="123" t="str">
        <f>IF(Kielivalinta="","",IF(Kielivalinta="Suomi",_xlfn.IFNA(VLOOKUP($A369,Data!$A$2:$C$612,2,FALSE),0),IF(Kielivalinta="Svenska",_xlfn.IFNA(VLOOKUP($B369,Data!$A$2:$C$612,2,FALSE),0))))</f>
        <v/>
      </c>
      <c r="E369" s="123" t="str">
        <f>IF(Kielivalinta="","",IF(Kielivalinta="Suomi",_xlfn.IFNA(VLOOKUP($A369,Data!$A$2:$C$612,3,FALSE),0),IF(Kielivalinta="Svenska",_xlfn.IFNA(VLOOKUP($B369,Data!$A$2:$C$612,3,FALSE),0))))</f>
        <v/>
      </c>
      <c r="F369" s="122" t="str">
        <f>Grafiikka_Grafik!A26&amp;" / "&amp;F368&amp;", "&amp;Data!$C$3</f>
        <v xml:space="preserve"> / , </v>
      </c>
      <c r="G369" s="123"/>
      <c r="H369" s="140"/>
      <c r="I369" s="140"/>
      <c r="J369" s="140"/>
      <c r="K369" s="140"/>
      <c r="L369" s="140"/>
      <c r="M369" s="140"/>
      <c r="Q369" s="119"/>
      <c r="R369" s="119"/>
      <c r="S369" s="119"/>
      <c r="T369" s="119"/>
      <c r="U369" s="119"/>
      <c r="V369" s="119"/>
      <c r="W369" s="119"/>
    </row>
    <row r="370" spans="1:23" x14ac:dyDescent="0.2">
      <c r="A370" s="122" t="s">
        <v>395</v>
      </c>
      <c r="B370" s="122" t="s">
        <v>911</v>
      </c>
      <c r="C370" s="115"/>
      <c r="D370" s="123" t="str">
        <f>IF(Kielivalinta="","",IF(Kielivalinta="Suomi",_xlfn.IFNA(VLOOKUP($A370,Data!$A$2:$C$612,2,FALSE),0),IF(Kielivalinta="Svenska",_xlfn.IFNA(VLOOKUP($B370,Data!$A$2:$C$612,2,FALSE),0))))</f>
        <v/>
      </c>
      <c r="E370" s="123" t="str">
        <f>IF(Kielivalinta="","",IF(Kielivalinta="Suomi",_xlfn.IFNA(VLOOKUP($A370,Data!$A$2:$C$612,3,FALSE),0),IF(Kielivalinta="Svenska",_xlfn.IFNA(VLOOKUP($B370,Data!$A$2:$C$612,3,FALSE),0))))</f>
        <v/>
      </c>
      <c r="F370" s="119" t="str">
        <f ca="1">"Yllä oleva kopioituu otsikoksi kirjaston ulkoista vaikuttavuutta kuvaavaan graafiin taulussa "&amp;Grafiikka_Grafik!D1</f>
        <v>Yllä oleva kopioituu otsikoksi kirjaston ulkoista vaikuttavuutta kuvaavaan graafiin taulussa Grafiikka_Grafik</v>
      </c>
      <c r="G370" s="119"/>
      <c r="H370" s="119"/>
      <c r="I370" s="119"/>
      <c r="J370" s="119"/>
      <c r="Q370" s="122"/>
      <c r="R370" s="119"/>
      <c r="S370" s="119"/>
      <c r="T370" s="119"/>
      <c r="U370" s="119"/>
      <c r="V370" s="119"/>
      <c r="W370" s="119"/>
    </row>
    <row r="371" spans="1:23" x14ac:dyDescent="0.2">
      <c r="A371" s="119" t="s">
        <v>396</v>
      </c>
      <c r="B371" s="119" t="s">
        <v>1157</v>
      </c>
      <c r="C371" s="115"/>
      <c r="D371" s="123" t="str">
        <f>IF(Kielivalinta="","",IF(Kielivalinta="Suomi",_xlfn.IFNA(VLOOKUP($A371,Data!$A$2:$C$612,2,FALSE),0),IF(Kielivalinta="Svenska",_xlfn.IFNA(VLOOKUP($B371,Data!$A$2:$C$612,2,FALSE),0))))</f>
        <v/>
      </c>
      <c r="E371" s="123" t="str">
        <f>IF(Kielivalinta="","",IF(Kielivalinta="Suomi",_xlfn.IFNA(VLOOKUP($A371,Data!$A$2:$C$612,3,FALSE),0),IF(Kielivalinta="Svenska",_xlfn.IFNA(VLOOKUP($B371,Data!$A$2:$C$612,3,FALSE),0))))</f>
        <v/>
      </c>
      <c r="F371" s="119"/>
      <c r="G371" s="119"/>
      <c r="H371" s="119"/>
      <c r="I371" s="119"/>
      <c r="J371" s="119"/>
      <c r="Q371" s="119"/>
      <c r="R371" s="119"/>
      <c r="S371" s="119"/>
      <c r="T371" s="119"/>
      <c r="U371" s="119"/>
      <c r="V371" s="119"/>
      <c r="W371" s="119"/>
    </row>
    <row r="372" spans="1:23" x14ac:dyDescent="0.2">
      <c r="A372" s="119" t="s">
        <v>397</v>
      </c>
      <c r="B372" s="119" t="s">
        <v>1158</v>
      </c>
      <c r="C372" s="115"/>
      <c r="D372" s="123" t="str">
        <f>IF(Kielivalinta="","",IF(Kielivalinta="Suomi",_xlfn.IFNA(VLOOKUP($A372,Data!$A$2:$C$612,2,FALSE),0),IF(Kielivalinta="Svenska",_xlfn.IFNA(VLOOKUP($B372,Data!$A$2:$C$612,2,FALSE),0))))</f>
        <v/>
      </c>
      <c r="E372" s="123" t="str">
        <f>IF(Kielivalinta="","",IF(Kielivalinta="Suomi",_xlfn.IFNA(VLOOKUP($A372,Data!$A$2:$C$612,3,FALSE),0),IF(Kielivalinta="Svenska",_xlfn.IFNA(VLOOKUP($B372,Data!$A$2:$C$612,3,FALSE),0))))</f>
        <v/>
      </c>
      <c r="F372" s="119"/>
      <c r="G372" s="119"/>
      <c r="H372" s="119"/>
      <c r="I372" s="119"/>
      <c r="J372" s="119"/>
      <c r="Q372" s="119"/>
      <c r="R372" s="119"/>
      <c r="S372" s="119"/>
      <c r="T372" s="119"/>
      <c r="U372" s="119"/>
      <c r="V372" s="119"/>
      <c r="W372" s="119"/>
    </row>
    <row r="373" spans="1:23" x14ac:dyDescent="0.2">
      <c r="A373" s="122" t="s">
        <v>398</v>
      </c>
      <c r="B373" s="122" t="s">
        <v>912</v>
      </c>
      <c r="C373" s="115"/>
      <c r="D373" s="123" t="str">
        <f>IF(Kielivalinta="","",IF(Kielivalinta="Suomi",_xlfn.IFNA(VLOOKUP($A373,Data!$A$2:$C$612,2,FALSE),0),IF(Kielivalinta="Svenska",_xlfn.IFNA(VLOOKUP($B373,Data!$A$2:$C$612,2,FALSE),0))))</f>
        <v/>
      </c>
      <c r="E373" s="123" t="str">
        <f>IF(Kielivalinta="","",IF(Kielivalinta="Suomi",_xlfn.IFNA(VLOOKUP($A373,Data!$A$2:$C$612,3,FALSE),0),IF(Kielivalinta="Svenska",_xlfn.IFNA(VLOOKUP($B373,Data!$A$2:$C$612,3,FALSE),0))))</f>
        <v/>
      </c>
      <c r="F373" s="119"/>
      <c r="G373" s="119"/>
      <c r="H373" s="119"/>
      <c r="I373" s="119"/>
      <c r="J373" s="119"/>
      <c r="Q373" s="122"/>
      <c r="R373" s="119"/>
      <c r="S373" s="119"/>
      <c r="T373" s="119"/>
      <c r="U373" s="119"/>
      <c r="V373" s="119"/>
      <c r="W373" s="119"/>
    </row>
    <row r="374" spans="1:23" x14ac:dyDescent="0.2">
      <c r="A374" s="119" t="s">
        <v>399</v>
      </c>
      <c r="B374" s="119" t="s">
        <v>1159</v>
      </c>
      <c r="C374" s="115"/>
      <c r="D374" s="123" t="str">
        <f>IF(Kielivalinta="","",IF(Kielivalinta="Suomi",_xlfn.IFNA(VLOOKUP($A374,Data!$A$2:$C$612,2,FALSE),0),IF(Kielivalinta="Svenska",_xlfn.IFNA(VLOOKUP($B374,Data!$A$2:$C$612,2,FALSE),0))))</f>
        <v/>
      </c>
      <c r="E374" s="123" t="str">
        <f>IF(Kielivalinta="","",IF(Kielivalinta="Suomi",_xlfn.IFNA(VLOOKUP($A374,Data!$A$2:$C$612,3,FALSE),0),IF(Kielivalinta="Svenska",_xlfn.IFNA(VLOOKUP($B374,Data!$A$2:$C$612,3,FALSE),0))))</f>
        <v/>
      </c>
      <c r="F374" s="119"/>
      <c r="G374" s="119"/>
      <c r="H374" s="119"/>
      <c r="I374" s="119"/>
      <c r="J374" s="119"/>
      <c r="Q374" s="119"/>
      <c r="R374" s="119"/>
      <c r="S374" s="119"/>
      <c r="T374" s="119"/>
      <c r="U374" s="119"/>
      <c r="V374" s="119"/>
      <c r="W374" s="119"/>
    </row>
    <row r="375" spans="1:23" x14ac:dyDescent="0.2">
      <c r="A375" s="119" t="s">
        <v>400</v>
      </c>
      <c r="B375" s="119" t="s">
        <v>1160</v>
      </c>
      <c r="C375" s="115"/>
      <c r="D375" s="123" t="str">
        <f>IF(Kielivalinta="","",IF(Kielivalinta="Suomi",_xlfn.IFNA(VLOOKUP($A375,Data!$A$2:$C$612,2,FALSE),0),IF(Kielivalinta="Svenska",_xlfn.IFNA(VLOOKUP($B375,Data!$A$2:$C$612,2,FALSE),0))))</f>
        <v/>
      </c>
      <c r="E375" s="123" t="str">
        <f>IF(Kielivalinta="","",IF(Kielivalinta="Suomi",_xlfn.IFNA(VLOOKUP($A375,Data!$A$2:$C$612,3,FALSE),0),IF(Kielivalinta="Svenska",_xlfn.IFNA(VLOOKUP($B375,Data!$A$2:$C$612,3,FALSE),0))))</f>
        <v/>
      </c>
      <c r="F375" s="119"/>
      <c r="G375" s="119"/>
      <c r="H375" s="119"/>
      <c r="I375" s="119"/>
      <c r="J375" s="119"/>
      <c r="Q375" s="119"/>
      <c r="R375" s="119"/>
      <c r="S375" s="119"/>
      <c r="T375" s="119"/>
      <c r="U375" s="119"/>
      <c r="V375" s="119"/>
      <c r="W375" s="119"/>
    </row>
    <row r="376" spans="1:23" x14ac:dyDescent="0.2">
      <c r="A376" s="119" t="s">
        <v>401</v>
      </c>
      <c r="B376" s="119" t="s">
        <v>1161</v>
      </c>
      <c r="C376" s="115"/>
      <c r="D376" s="123" t="str">
        <f>IF(Kielivalinta="","",IF(Kielivalinta="Suomi",_xlfn.IFNA(VLOOKUP($A376,Data!$A$2:$C$612,2,FALSE),0),IF(Kielivalinta="Svenska",_xlfn.IFNA(VLOOKUP($B376,Data!$A$2:$C$612,2,FALSE),0))))</f>
        <v/>
      </c>
      <c r="E376" s="123" t="str">
        <f>IF(Kielivalinta="","",IF(Kielivalinta="Suomi",_xlfn.IFNA(VLOOKUP($A376,Data!$A$2:$C$612,3,FALSE),0),IF(Kielivalinta="Svenska",_xlfn.IFNA(VLOOKUP($B376,Data!$A$2:$C$612,3,FALSE),0))))</f>
        <v/>
      </c>
      <c r="F376" s="119"/>
      <c r="G376" s="119"/>
      <c r="H376" s="119"/>
      <c r="I376" s="119"/>
      <c r="J376" s="119"/>
      <c r="Q376" s="119"/>
      <c r="R376" s="119"/>
      <c r="S376" s="119"/>
      <c r="T376" s="119"/>
      <c r="U376" s="119"/>
      <c r="V376" s="119"/>
      <c r="W376" s="119"/>
    </row>
    <row r="377" spans="1:23" x14ac:dyDescent="0.2">
      <c r="A377" s="119" t="s">
        <v>651</v>
      </c>
      <c r="B377" s="119" t="s">
        <v>1162</v>
      </c>
      <c r="C377" s="115"/>
      <c r="D377" s="123" t="str">
        <f>IF(Kielivalinta="","",IF(Kielivalinta="Suomi",_xlfn.IFNA(VLOOKUP($A377,Data!$A$2:$C$612,2,FALSE),0),IF(Kielivalinta="Svenska",_xlfn.IFNA(VLOOKUP($B377,Data!$A$2:$C$612,2,FALSE),0))))</f>
        <v/>
      </c>
      <c r="E377" s="123" t="str">
        <f>IF(Kielivalinta="","",IF(Kielivalinta="Suomi",_xlfn.IFNA(VLOOKUP($A377,Data!$A$2:$C$612,3,FALSE),0),IF(Kielivalinta="Svenska",_xlfn.IFNA(VLOOKUP($B377,Data!$A$2:$C$612,3,FALSE),0))))</f>
        <v/>
      </c>
      <c r="F377" s="119"/>
      <c r="G377" s="119"/>
      <c r="H377" s="119"/>
      <c r="I377" s="119"/>
      <c r="J377" s="119"/>
      <c r="Q377" s="119"/>
      <c r="R377" s="119"/>
      <c r="S377" s="119"/>
      <c r="T377" s="119"/>
      <c r="U377" s="119"/>
      <c r="V377" s="119"/>
      <c r="W377" s="119"/>
    </row>
    <row r="378" spans="1:23" x14ac:dyDescent="0.2">
      <c r="A378" s="122" t="s">
        <v>646</v>
      </c>
      <c r="B378" s="122" t="s">
        <v>913</v>
      </c>
      <c r="C378" s="115"/>
      <c r="D378" s="123" t="str">
        <f>IF(Kielivalinta="","",IF(Kielivalinta="Suomi",_xlfn.IFNA(VLOOKUP($A378,Data!$A$2:$C$612,2,FALSE),0),IF(Kielivalinta="Svenska",_xlfn.IFNA(VLOOKUP($B378,Data!$A$2:$C$612,2,FALSE),0))))</f>
        <v/>
      </c>
      <c r="E378" s="123" t="str">
        <f>IF(Kielivalinta="","",IF(Kielivalinta="Suomi",_xlfn.IFNA(VLOOKUP($A378,Data!$A$2:$C$612,3,FALSE),0),IF(Kielivalinta="Svenska",_xlfn.IFNA(VLOOKUP($B378,Data!$A$2:$C$612,3,FALSE),0))))</f>
        <v/>
      </c>
      <c r="F378" s="119"/>
      <c r="G378" s="119"/>
      <c r="H378" s="119"/>
      <c r="I378" s="119"/>
      <c r="J378" s="119"/>
      <c r="Q378" s="122"/>
      <c r="R378" s="119"/>
      <c r="S378" s="119"/>
      <c r="T378" s="119"/>
      <c r="U378" s="119"/>
      <c r="V378" s="119"/>
      <c r="W378" s="119"/>
    </row>
    <row r="379" spans="1:23" x14ac:dyDescent="0.2">
      <c r="A379" s="119" t="s">
        <v>652</v>
      </c>
      <c r="B379" s="119" t="s">
        <v>1163</v>
      </c>
      <c r="C379" s="115"/>
      <c r="D379" s="123" t="str">
        <f>IF(Kielivalinta="","",IF(Kielivalinta="Suomi",_xlfn.IFNA(VLOOKUP($A379,Data!$A$2:$C$612,2,FALSE),0),IF(Kielivalinta="Svenska",_xlfn.IFNA(VLOOKUP($B379,Data!$A$2:$C$612,2,FALSE),0))))</f>
        <v/>
      </c>
      <c r="E379" s="123" t="str">
        <f>IF(Kielivalinta="","",IF(Kielivalinta="Suomi",_xlfn.IFNA(VLOOKUP($A379,Data!$A$2:$C$612,3,FALSE),0),IF(Kielivalinta="Svenska",_xlfn.IFNA(VLOOKUP($B379,Data!$A$2:$C$612,3,FALSE),0))))</f>
        <v/>
      </c>
      <c r="F379" s="119"/>
      <c r="G379" s="119"/>
      <c r="H379" s="119"/>
      <c r="I379" s="119"/>
      <c r="J379" s="119"/>
      <c r="Q379" s="119"/>
      <c r="R379" s="119"/>
      <c r="S379" s="119"/>
      <c r="T379" s="119"/>
      <c r="U379" s="119"/>
      <c r="V379" s="119"/>
      <c r="W379" s="119"/>
    </row>
    <row r="380" spans="1:23" x14ac:dyDescent="0.2">
      <c r="A380" s="119" t="s">
        <v>653</v>
      </c>
      <c r="B380" s="119" t="s">
        <v>1164</v>
      </c>
      <c r="C380" s="115"/>
      <c r="D380" s="123" t="str">
        <f>IF(Kielivalinta="","",IF(Kielivalinta="Suomi",_xlfn.IFNA(VLOOKUP($A380,Data!$A$2:$C$612,2,FALSE),0),IF(Kielivalinta="Svenska",_xlfn.IFNA(VLOOKUP($B380,Data!$A$2:$C$612,2,FALSE),0))))</f>
        <v/>
      </c>
      <c r="E380" s="123" t="str">
        <f>IF(Kielivalinta="","",IF(Kielivalinta="Suomi",_xlfn.IFNA(VLOOKUP($A380,Data!$A$2:$C$612,3,FALSE),0),IF(Kielivalinta="Svenska",_xlfn.IFNA(VLOOKUP($B380,Data!$A$2:$C$612,3,FALSE),0))))</f>
        <v/>
      </c>
      <c r="F380" s="119"/>
      <c r="G380" s="119"/>
      <c r="H380" s="119"/>
      <c r="I380" s="119"/>
      <c r="J380" s="119"/>
      <c r="Q380" s="119"/>
      <c r="R380" s="119"/>
      <c r="S380" s="119"/>
      <c r="T380" s="119"/>
      <c r="U380" s="119"/>
      <c r="V380" s="119"/>
      <c r="W380" s="119"/>
    </row>
    <row r="381" spans="1:23" x14ac:dyDescent="0.2">
      <c r="A381" s="122" t="s">
        <v>402</v>
      </c>
      <c r="B381" s="122" t="s">
        <v>914</v>
      </c>
      <c r="C381" s="115"/>
      <c r="D381" s="123" t="str">
        <f>IF(Kielivalinta="","",IF(Kielivalinta="Suomi",_xlfn.IFNA(VLOOKUP($A381,Data!$A$2:$C$612,2,FALSE),0),IF(Kielivalinta="Svenska",_xlfn.IFNA(VLOOKUP($B381,Data!$A$2:$C$612,2,FALSE),0))))</f>
        <v/>
      </c>
      <c r="E381" s="123" t="str">
        <f>IF(Kielivalinta="","",IF(Kielivalinta="Suomi",_xlfn.IFNA(VLOOKUP($A381,Data!$A$2:$C$612,3,FALSE),0),IF(Kielivalinta="Svenska",_xlfn.IFNA(VLOOKUP($B381,Data!$A$2:$C$612,3,FALSE),0))))</f>
        <v/>
      </c>
      <c r="F381" s="119"/>
      <c r="G381" s="119"/>
      <c r="H381" s="119"/>
      <c r="I381" s="119"/>
      <c r="J381" s="119"/>
      <c r="Q381" s="122"/>
      <c r="R381" s="119"/>
      <c r="S381" s="119"/>
      <c r="T381" s="119"/>
      <c r="U381" s="119"/>
      <c r="V381" s="119"/>
      <c r="W381" s="119"/>
    </row>
    <row r="382" spans="1:23" x14ac:dyDescent="0.2">
      <c r="A382" s="122" t="s">
        <v>403</v>
      </c>
      <c r="B382" s="122" t="s">
        <v>915</v>
      </c>
      <c r="C382" s="115"/>
      <c r="D382" s="123" t="str">
        <f>IF(Kielivalinta="","",IF(Kielivalinta="Suomi",_xlfn.IFNA(VLOOKUP($A382,Data!$A$2:$C$612,2,FALSE),0),IF(Kielivalinta="Svenska",_xlfn.IFNA(VLOOKUP($B382,Data!$A$2:$C$612,2,FALSE),0))))</f>
        <v/>
      </c>
      <c r="E382" s="123" t="str">
        <f>IF(Kielivalinta="","",IF(Kielivalinta="Suomi",_xlfn.IFNA(VLOOKUP($A382,Data!$A$2:$C$612,3,FALSE),0),IF(Kielivalinta="Svenska",_xlfn.IFNA(VLOOKUP($B382,Data!$A$2:$C$612,3,FALSE),0))))</f>
        <v/>
      </c>
      <c r="F382" s="119"/>
      <c r="G382" s="119"/>
      <c r="H382" s="119"/>
      <c r="I382" s="119"/>
      <c r="J382" s="119"/>
      <c r="Q382" s="122"/>
      <c r="R382" s="119"/>
      <c r="S382" s="119"/>
      <c r="T382" s="119"/>
      <c r="U382" s="119"/>
      <c r="V382" s="119"/>
      <c r="W382" s="119"/>
    </row>
    <row r="383" spans="1:23" x14ac:dyDescent="0.2">
      <c r="A383" s="122" t="s">
        <v>404</v>
      </c>
      <c r="B383" s="122" t="s">
        <v>916</v>
      </c>
      <c r="C383" s="115"/>
      <c r="D383" s="123" t="str">
        <f>IF(Kielivalinta="","",IF(Kielivalinta="Suomi",_xlfn.IFNA(VLOOKUP($A383,Data!$A$2:$C$612,2,FALSE),0),IF(Kielivalinta="Svenska",_xlfn.IFNA(VLOOKUP($B383,Data!$A$2:$C$612,2,FALSE),0))))</f>
        <v/>
      </c>
      <c r="E383" s="123" t="str">
        <f>IF(Kielivalinta="","",IF(Kielivalinta="Suomi",_xlfn.IFNA(VLOOKUP($A383,Data!$A$2:$C$612,3,FALSE),0),IF(Kielivalinta="Svenska",_xlfn.IFNA(VLOOKUP($B383,Data!$A$2:$C$612,3,FALSE),0))))</f>
        <v/>
      </c>
      <c r="F383" s="119"/>
      <c r="G383" s="119"/>
      <c r="H383" s="119"/>
      <c r="I383" s="119"/>
      <c r="J383" s="119"/>
      <c r="Q383" s="122"/>
      <c r="R383" s="119"/>
      <c r="S383" s="119"/>
      <c r="T383" s="119"/>
      <c r="U383" s="119"/>
      <c r="V383" s="119"/>
      <c r="W383" s="119"/>
    </row>
    <row r="384" spans="1:23" x14ac:dyDescent="0.2">
      <c r="A384" s="122" t="s">
        <v>405</v>
      </c>
      <c r="B384" s="122" t="s">
        <v>917</v>
      </c>
      <c r="C384" s="115"/>
      <c r="D384" s="123" t="str">
        <f>IF(Kielivalinta="","",IF(Kielivalinta="Suomi",_xlfn.IFNA(VLOOKUP($A384,Data!$A$2:$C$612,2,FALSE),0),IF(Kielivalinta="Svenska",_xlfn.IFNA(VLOOKUP($B384,Data!$A$2:$C$612,2,FALSE),0))))</f>
        <v/>
      </c>
      <c r="E384" s="123" t="str">
        <f>IF(Kielivalinta="","",IF(Kielivalinta="Suomi",_xlfn.IFNA(VLOOKUP($A384,Data!$A$2:$C$612,3,FALSE),0),IF(Kielivalinta="Svenska",_xlfn.IFNA(VLOOKUP($B384,Data!$A$2:$C$612,3,FALSE),0))))</f>
        <v/>
      </c>
      <c r="F384" s="119"/>
      <c r="G384" s="119"/>
      <c r="H384" s="119"/>
      <c r="I384" s="119"/>
      <c r="J384" s="119"/>
      <c r="Q384" s="122"/>
      <c r="R384" s="119"/>
      <c r="S384" s="119"/>
      <c r="T384" s="119"/>
      <c r="U384" s="119"/>
      <c r="V384" s="119"/>
      <c r="W384" s="119"/>
    </row>
    <row r="385" spans="1:23" x14ac:dyDescent="0.2">
      <c r="A385" s="122" t="s">
        <v>406</v>
      </c>
      <c r="B385" s="122" t="s">
        <v>918</v>
      </c>
      <c r="C385" s="115"/>
      <c r="D385" s="123" t="str">
        <f>IF(Kielivalinta="","",IF(Kielivalinta="Suomi",_xlfn.IFNA(VLOOKUP($A385,Data!$A$2:$C$612,2,FALSE),0),IF(Kielivalinta="Svenska",_xlfn.IFNA(VLOOKUP($B385,Data!$A$2:$C$612,2,FALSE),0))))</f>
        <v/>
      </c>
      <c r="E385" s="123" t="str">
        <f>IF(Kielivalinta="","",IF(Kielivalinta="Suomi",_xlfn.IFNA(VLOOKUP($A385,Data!$A$2:$C$612,3,FALSE),0),IF(Kielivalinta="Svenska",_xlfn.IFNA(VLOOKUP($B385,Data!$A$2:$C$612,3,FALSE),0))))</f>
        <v/>
      </c>
      <c r="F385" s="119"/>
      <c r="G385" s="119"/>
      <c r="H385" s="119"/>
      <c r="I385" s="119"/>
      <c r="J385" s="119"/>
      <c r="Q385" s="122"/>
      <c r="R385" s="119"/>
      <c r="S385" s="119"/>
      <c r="T385" s="119"/>
      <c r="U385" s="119"/>
      <c r="V385" s="119"/>
      <c r="W385" s="119"/>
    </row>
    <row r="386" spans="1:23" x14ac:dyDescent="0.2">
      <c r="A386" s="119" t="s">
        <v>407</v>
      </c>
      <c r="B386" s="119" t="s">
        <v>1165</v>
      </c>
      <c r="C386" s="115"/>
      <c r="D386" s="123" t="str">
        <f>IF(Kielivalinta="","",IF(Kielivalinta="Suomi",_xlfn.IFNA(VLOOKUP($A386,Data!$A$2:$C$612,2,FALSE),0),IF(Kielivalinta="Svenska",_xlfn.IFNA(VLOOKUP($B386,Data!$A$2:$C$612,2,FALSE),0))))</f>
        <v/>
      </c>
      <c r="E386" s="123" t="str">
        <f>IF(Kielivalinta="","",IF(Kielivalinta="Suomi",_xlfn.IFNA(VLOOKUP($A386,Data!$A$2:$C$612,3,FALSE),0),IF(Kielivalinta="Svenska",_xlfn.IFNA(VLOOKUP($B386,Data!$A$2:$C$612,3,FALSE),0))))</f>
        <v/>
      </c>
      <c r="F386" s="119"/>
      <c r="G386" s="119"/>
      <c r="H386" s="119"/>
      <c r="I386" s="119"/>
      <c r="J386" s="119"/>
      <c r="Q386" s="119"/>
      <c r="R386" s="119"/>
      <c r="S386" s="119"/>
      <c r="T386" s="119"/>
      <c r="U386" s="119"/>
      <c r="V386" s="119"/>
      <c r="W386" s="119"/>
    </row>
    <row r="387" spans="1:23" x14ac:dyDescent="0.2">
      <c r="A387" s="119" t="s">
        <v>408</v>
      </c>
      <c r="B387" s="119" t="s">
        <v>1166</v>
      </c>
      <c r="C387" s="115"/>
      <c r="D387" s="123" t="str">
        <f>IF(Kielivalinta="","",IF(Kielivalinta="Suomi",_xlfn.IFNA(VLOOKUP($A387,Data!$A$2:$C$612,2,FALSE),0),IF(Kielivalinta="Svenska",_xlfn.IFNA(VLOOKUP($B387,Data!$A$2:$C$612,2,FALSE),0))))</f>
        <v/>
      </c>
      <c r="E387" s="123" t="str">
        <f>IF(Kielivalinta="","",IF(Kielivalinta="Suomi",_xlfn.IFNA(VLOOKUP($A387,Data!$A$2:$C$612,3,FALSE),0),IF(Kielivalinta="Svenska",_xlfn.IFNA(VLOOKUP($B387,Data!$A$2:$C$612,3,FALSE),0))))</f>
        <v/>
      </c>
      <c r="F387" s="119"/>
      <c r="G387" s="119"/>
      <c r="H387" s="119"/>
      <c r="I387" s="119"/>
      <c r="J387" s="119"/>
      <c r="Q387" s="119"/>
      <c r="R387" s="119"/>
      <c r="S387" s="119"/>
      <c r="T387" s="119"/>
      <c r="U387" s="119"/>
      <c r="V387" s="119"/>
      <c r="W387" s="119"/>
    </row>
    <row r="388" spans="1:23" x14ac:dyDescent="0.2">
      <c r="A388" s="122" t="s">
        <v>409</v>
      </c>
      <c r="B388" s="122" t="s">
        <v>919</v>
      </c>
      <c r="C388" s="115"/>
      <c r="D388" s="123" t="str">
        <f>IF(Kielivalinta="","",IF(Kielivalinta="Suomi",_xlfn.IFNA(VLOOKUP($A388,Data!$A$2:$C$612,2,FALSE),0),IF(Kielivalinta="Svenska",_xlfn.IFNA(VLOOKUP($B388,Data!$A$2:$C$612,2,FALSE),0))))</f>
        <v/>
      </c>
      <c r="E388" s="123" t="str">
        <f>IF(Kielivalinta="","",IF(Kielivalinta="Suomi",_xlfn.IFNA(VLOOKUP($A388,Data!$A$2:$C$612,3,FALSE),0),IF(Kielivalinta="Svenska",_xlfn.IFNA(VLOOKUP($B388,Data!$A$2:$C$612,3,FALSE),0))))</f>
        <v/>
      </c>
      <c r="F388" s="119"/>
      <c r="G388" s="139"/>
      <c r="H388" s="139"/>
      <c r="I388" s="119"/>
      <c r="J388" s="119"/>
      <c r="Q388" s="122"/>
      <c r="R388" s="119"/>
      <c r="S388" s="119"/>
      <c r="T388" s="119"/>
      <c r="U388" s="119"/>
      <c r="V388" s="119"/>
      <c r="W388" s="119"/>
    </row>
    <row r="389" spans="1:23" x14ac:dyDescent="0.2">
      <c r="A389" s="119" t="s">
        <v>410</v>
      </c>
      <c r="B389" s="119" t="s">
        <v>1167</v>
      </c>
      <c r="C389" s="115"/>
      <c r="D389" s="123" t="str">
        <f>IF(Kielivalinta="","",IF(Kielivalinta="Suomi",_xlfn.IFNA(VLOOKUP($A389,Data!$A$2:$C$612,2,FALSE),0),IF(Kielivalinta="Svenska",_xlfn.IFNA(VLOOKUP($B389,Data!$A$2:$C$612,2,FALSE),0))))</f>
        <v/>
      </c>
      <c r="E389" s="123" t="str">
        <f>IF(Kielivalinta="","",IF(Kielivalinta="Suomi",_xlfn.IFNA(VLOOKUP($A389,Data!$A$2:$C$612,3,FALSE),0),IF(Kielivalinta="Svenska",_xlfn.IFNA(VLOOKUP($B389,Data!$A$2:$C$612,3,FALSE),0))))</f>
        <v/>
      </c>
      <c r="F389" s="119"/>
      <c r="G389" s="140"/>
      <c r="H389" s="140"/>
      <c r="I389" s="119"/>
      <c r="J389" s="119"/>
      <c r="Q389" s="119"/>
      <c r="R389" s="119"/>
      <c r="S389" s="119"/>
      <c r="T389" s="119"/>
      <c r="U389" s="119"/>
      <c r="V389" s="119"/>
      <c r="W389" s="119"/>
    </row>
    <row r="390" spans="1:23" x14ac:dyDescent="0.2">
      <c r="A390" s="119" t="s">
        <v>654</v>
      </c>
      <c r="B390" s="119" t="s">
        <v>1168</v>
      </c>
      <c r="C390" s="115"/>
      <c r="D390" s="123" t="str">
        <f>IF(Kielivalinta="","",IF(Kielivalinta="Suomi",_xlfn.IFNA(VLOOKUP($A390,Data!$A$2:$C$612,2,FALSE),0),IF(Kielivalinta="Svenska",_xlfn.IFNA(VLOOKUP($B390,Data!$A$2:$C$612,2,FALSE),0))))</f>
        <v/>
      </c>
      <c r="E390" s="123" t="str">
        <f>IF(Kielivalinta="","",IF(Kielivalinta="Suomi",_xlfn.IFNA(VLOOKUP($A390,Data!$A$2:$C$612,3,FALSE),0),IF(Kielivalinta="Svenska",_xlfn.IFNA(VLOOKUP($B390,Data!$A$2:$C$612,3,FALSE),0))))</f>
        <v/>
      </c>
      <c r="F390" s="119"/>
      <c r="G390" s="123"/>
      <c r="H390" s="123"/>
      <c r="I390" s="119"/>
      <c r="J390" s="119"/>
      <c r="Q390" s="119"/>
      <c r="R390" s="119"/>
      <c r="S390" s="119"/>
      <c r="T390" s="119"/>
      <c r="U390" s="119"/>
      <c r="V390" s="119"/>
      <c r="W390" s="119"/>
    </row>
    <row r="391" spans="1:23" x14ac:dyDescent="0.2">
      <c r="A391" s="119" t="s">
        <v>655</v>
      </c>
      <c r="B391" s="119" t="s">
        <v>1169</v>
      </c>
      <c r="C391" s="115"/>
      <c r="D391" s="123" t="str">
        <f>IF(Kielivalinta="","",IF(Kielivalinta="Suomi",_xlfn.IFNA(VLOOKUP($A391,Data!$A$2:$C$612,2,FALSE),0),IF(Kielivalinta="Svenska",_xlfn.IFNA(VLOOKUP($B391,Data!$A$2:$C$612,2,FALSE),0))))</f>
        <v/>
      </c>
      <c r="E391" s="123" t="str">
        <f>IF(Kielivalinta="","",IF(Kielivalinta="Suomi",_xlfn.IFNA(VLOOKUP($A391,Data!$A$2:$C$612,3,FALSE),0),IF(Kielivalinta="Svenska",_xlfn.IFNA(VLOOKUP($B391,Data!$A$2:$C$612,3,FALSE),0))))</f>
        <v/>
      </c>
      <c r="F391" s="119"/>
      <c r="G391" s="123"/>
      <c r="H391" s="123"/>
      <c r="I391" s="119"/>
      <c r="J391" s="119"/>
      <c r="Q391" s="119"/>
      <c r="R391" s="119"/>
      <c r="S391" s="119"/>
      <c r="T391" s="119"/>
      <c r="U391" s="119"/>
      <c r="V391" s="119"/>
      <c r="W391" s="119"/>
    </row>
    <row r="392" spans="1:23" x14ac:dyDescent="0.2">
      <c r="A392" s="119" t="s">
        <v>411</v>
      </c>
      <c r="B392" s="119" t="s">
        <v>1170</v>
      </c>
      <c r="C392" s="115"/>
      <c r="D392" s="123" t="str">
        <f>IF(Kielivalinta="","",IF(Kielivalinta="Suomi",_xlfn.IFNA(VLOOKUP($A392,Data!$A$2:$C$612,2,FALSE),0),IF(Kielivalinta="Svenska",_xlfn.IFNA(VLOOKUP($B392,Data!$A$2:$C$612,2,FALSE),0))))</f>
        <v/>
      </c>
      <c r="E392" s="123" t="str">
        <f>IF(Kielivalinta="","",IF(Kielivalinta="Suomi",_xlfn.IFNA(VLOOKUP($A392,Data!$A$2:$C$612,3,FALSE),0),IF(Kielivalinta="Svenska",_xlfn.IFNA(VLOOKUP($B392,Data!$A$2:$C$612,3,FALSE),0))))</f>
        <v/>
      </c>
      <c r="F392" s="119"/>
      <c r="G392" s="119"/>
      <c r="H392" s="119"/>
      <c r="I392" s="119"/>
      <c r="J392" s="119"/>
      <c r="Q392" s="119"/>
      <c r="R392" s="119"/>
      <c r="S392" s="119"/>
      <c r="T392" s="119"/>
      <c r="U392" s="119"/>
      <c r="V392" s="119"/>
      <c r="W392" s="119"/>
    </row>
    <row r="393" spans="1:23" x14ac:dyDescent="0.2">
      <c r="A393" s="119" t="s">
        <v>656</v>
      </c>
      <c r="B393" s="119" t="s">
        <v>1171</v>
      </c>
      <c r="C393" s="115"/>
      <c r="D393" s="123" t="str">
        <f>IF(Kielivalinta="","",IF(Kielivalinta="Suomi",_xlfn.IFNA(VLOOKUP($A393,Data!$A$2:$C$612,2,FALSE),0),IF(Kielivalinta="Svenska",_xlfn.IFNA(VLOOKUP($B393,Data!$A$2:$C$612,2,FALSE),0))))</f>
        <v/>
      </c>
      <c r="E393" s="123" t="str">
        <f>IF(Kielivalinta="","",IF(Kielivalinta="Suomi",_xlfn.IFNA(VLOOKUP($A393,Data!$A$2:$C$612,3,FALSE),0),IF(Kielivalinta="Svenska",_xlfn.IFNA(VLOOKUP($B393,Data!$A$2:$C$612,3,FALSE),0))))</f>
        <v/>
      </c>
      <c r="F393" s="119"/>
      <c r="G393" s="119"/>
      <c r="H393" s="119"/>
      <c r="I393" s="119"/>
      <c r="J393" s="119"/>
      <c r="Q393" s="119"/>
      <c r="R393" s="119"/>
      <c r="S393" s="119"/>
      <c r="T393" s="119"/>
      <c r="U393" s="119"/>
      <c r="V393" s="119"/>
      <c r="W393" s="119"/>
    </row>
    <row r="394" spans="1:23" x14ac:dyDescent="0.2">
      <c r="A394" s="119" t="s">
        <v>657</v>
      </c>
      <c r="B394" s="119" t="s">
        <v>1172</v>
      </c>
      <c r="C394" s="115"/>
      <c r="D394" s="123" t="str">
        <f>IF(Kielivalinta="","",IF(Kielivalinta="Suomi",_xlfn.IFNA(VLOOKUP($A394,Data!$A$2:$C$612,2,FALSE),0),IF(Kielivalinta="Svenska",_xlfn.IFNA(VLOOKUP($B394,Data!$A$2:$C$612,2,FALSE),0))))</f>
        <v/>
      </c>
      <c r="E394" s="123" t="str">
        <f>IF(Kielivalinta="","",IF(Kielivalinta="Suomi",_xlfn.IFNA(VLOOKUP($A394,Data!$A$2:$C$612,3,FALSE),0),IF(Kielivalinta="Svenska",_xlfn.IFNA(VLOOKUP($B394,Data!$A$2:$C$612,3,FALSE),0))))</f>
        <v/>
      </c>
      <c r="F394" s="119"/>
      <c r="G394" s="119"/>
      <c r="H394" s="119"/>
      <c r="I394" s="119"/>
      <c r="J394" s="119"/>
      <c r="Q394" s="119"/>
      <c r="R394" s="119"/>
      <c r="S394" s="119"/>
      <c r="T394" s="119"/>
      <c r="U394" s="119"/>
      <c r="V394" s="119"/>
      <c r="W394" s="119"/>
    </row>
    <row r="395" spans="1:23" x14ac:dyDescent="0.2">
      <c r="A395" s="122" t="s">
        <v>412</v>
      </c>
      <c r="B395" s="122" t="s">
        <v>920</v>
      </c>
      <c r="C395" s="115"/>
      <c r="D395" s="123" t="str">
        <f>IF(Kielivalinta="","",IF(Kielivalinta="Suomi",_xlfn.IFNA(VLOOKUP($A395,Data!$A$2:$C$612,2,FALSE),0),IF(Kielivalinta="Svenska",_xlfn.IFNA(VLOOKUP($B395,Data!$A$2:$C$612,2,FALSE),0))))</f>
        <v/>
      </c>
      <c r="E395" s="123" t="str">
        <f>IF(Kielivalinta="","",IF(Kielivalinta="Suomi",_xlfn.IFNA(VLOOKUP($A395,Data!$A$2:$C$612,3,FALSE),0),IF(Kielivalinta="Svenska",_xlfn.IFNA(VLOOKUP($B395,Data!$A$2:$C$612,3,FALSE),0))))</f>
        <v/>
      </c>
      <c r="F395" s="119"/>
      <c r="G395" s="119"/>
      <c r="H395" s="119"/>
      <c r="I395" s="119"/>
      <c r="J395" s="119"/>
      <c r="Q395" s="122"/>
      <c r="R395" s="119"/>
      <c r="S395" s="119"/>
      <c r="T395" s="119"/>
      <c r="U395" s="119"/>
      <c r="V395" s="119"/>
      <c r="W395" s="119"/>
    </row>
    <row r="396" spans="1:23" x14ac:dyDescent="0.2">
      <c r="A396" s="122" t="s">
        <v>647</v>
      </c>
      <c r="B396" s="122" t="s">
        <v>921</v>
      </c>
      <c r="C396" s="115"/>
      <c r="D396" s="123" t="str">
        <f>IF(Kielivalinta="","",IF(Kielivalinta="Suomi",_xlfn.IFNA(VLOOKUP($A396,Data!$A$2:$C$612,2,FALSE),0),IF(Kielivalinta="Svenska",_xlfn.IFNA(VLOOKUP($B396,Data!$A$2:$C$612,2,FALSE),0))))</f>
        <v/>
      </c>
      <c r="E396" s="123" t="str">
        <f>IF(Kielivalinta="","",IF(Kielivalinta="Suomi",_xlfn.IFNA(VLOOKUP($A396,Data!$A$2:$C$612,3,FALSE),0),IF(Kielivalinta="Svenska",_xlfn.IFNA(VLOOKUP($B396,Data!$A$2:$C$612,3,FALSE),0))))</f>
        <v/>
      </c>
      <c r="F396" s="119"/>
      <c r="G396" s="119"/>
      <c r="H396" s="119"/>
      <c r="I396" s="119"/>
      <c r="J396" s="119"/>
      <c r="Q396" s="122"/>
      <c r="R396" s="119"/>
      <c r="S396" s="119"/>
      <c r="T396" s="119"/>
      <c r="U396" s="119"/>
      <c r="V396" s="119"/>
      <c r="W396" s="119"/>
    </row>
    <row r="397" spans="1:23" x14ac:dyDescent="0.2">
      <c r="A397" s="122" t="s">
        <v>648</v>
      </c>
      <c r="B397" s="122" t="s">
        <v>922</v>
      </c>
      <c r="C397" s="115"/>
      <c r="D397" s="123" t="str">
        <f>IF(Kielivalinta="","",IF(Kielivalinta="Suomi",_xlfn.IFNA(VLOOKUP($A397,Data!$A$2:$C$612,2,FALSE),0),IF(Kielivalinta="Svenska",_xlfn.IFNA(VLOOKUP($B397,Data!$A$2:$C$612,2,FALSE),0))))</f>
        <v/>
      </c>
      <c r="E397" s="123" t="str">
        <f>IF(Kielivalinta="","",IF(Kielivalinta="Suomi",_xlfn.IFNA(VLOOKUP($A397,Data!$A$2:$C$612,3,FALSE),0),IF(Kielivalinta="Svenska",_xlfn.IFNA(VLOOKUP($B397,Data!$A$2:$C$612,3,FALSE),0))))</f>
        <v/>
      </c>
      <c r="G397" s="137" t="str">
        <f>IF(Kielivalinta="","",IF(Kielivalinta="Suomi","Tiedonhaut verkossa ja informaatiopalvelun käyttö",IF(Kielivalinta="Svenska","Informationssökningar i nätet och användningen av informationstjänst")))</f>
        <v/>
      </c>
      <c r="T397" s="119"/>
      <c r="U397" s="119"/>
      <c r="V397" s="119"/>
      <c r="W397" s="119"/>
    </row>
    <row r="398" spans="1:23" x14ac:dyDescent="0.2">
      <c r="A398" s="122" t="s">
        <v>413</v>
      </c>
      <c r="B398" s="122" t="s">
        <v>923</v>
      </c>
      <c r="C398" s="115"/>
      <c r="D398" s="123" t="str">
        <f>IF(Kielivalinta="","",IF(Kielivalinta="Suomi",_xlfn.IFNA(VLOOKUP($A398,Data!$A$2:$C$612,2,FALSE),0),IF(Kielivalinta="Svenska",_xlfn.IFNA(VLOOKUP($B398,Data!$A$2:$C$612,2,FALSE),0))))</f>
        <v/>
      </c>
      <c r="E398" s="123" t="str">
        <f>IF(Kielivalinta="","",IF(Kielivalinta="Suomi",_xlfn.IFNA(VLOOKUP($A398,Data!$A$2:$C$612,3,FALSE),0),IF(Kielivalinta="Svenska",_xlfn.IFNA(VLOOKUP($B398,Data!$A$2:$C$612,3,FALSE),0))))</f>
        <v/>
      </c>
      <c r="F398" s="119"/>
      <c r="G398" s="119" t="s">
        <v>659</v>
      </c>
      <c r="H398" s="119"/>
      <c r="I398" s="119"/>
      <c r="J398" s="119" t="s">
        <v>661</v>
      </c>
      <c r="N398" s="114" t="s">
        <v>660</v>
      </c>
      <c r="Q398" s="122"/>
      <c r="R398" s="114" t="s">
        <v>662</v>
      </c>
      <c r="T398" s="119"/>
      <c r="U398" s="119"/>
      <c r="V398" s="119"/>
      <c r="W398" s="119"/>
    </row>
    <row r="399" spans="1:23" x14ac:dyDescent="0.2">
      <c r="A399" s="122" t="s">
        <v>414</v>
      </c>
      <c r="B399" s="122" t="s">
        <v>924</v>
      </c>
      <c r="C399" s="115"/>
      <c r="D399" s="123" t="str">
        <f>IF(Kielivalinta="","",IF(Kielivalinta="Suomi",_xlfn.IFNA(VLOOKUP($A399,Data!$A$2:$C$612,2,FALSE),0),IF(Kielivalinta="Svenska",_xlfn.IFNA(VLOOKUP($B399,Data!$A$2:$C$612,2,FALSE),0))))</f>
        <v/>
      </c>
      <c r="E399" s="123" t="str">
        <f>IF(Kielivalinta="","",IF(Kielivalinta="Suomi",_xlfn.IFNA(VLOOKUP($A399,Data!$A$2:$C$612,3,FALSE),0),IF(Kielivalinta="Svenska",_xlfn.IFNA(VLOOKUP($B399,Data!$A$2:$C$612,3,FALSE),0))))</f>
        <v/>
      </c>
      <c r="F399" s="119"/>
      <c r="G399" s="119">
        <f>Data!$B$3</f>
        <v>0</v>
      </c>
      <c r="H399" s="119">
        <f>Data!$C$3</f>
        <v>0</v>
      </c>
      <c r="I399" s="119"/>
      <c r="J399" s="119">
        <f>Data!$B$3</f>
        <v>0</v>
      </c>
      <c r="K399" s="119">
        <f>Data!$C$3</f>
        <v>0</v>
      </c>
      <c r="N399" s="114">
        <f>Data!$B$3</f>
        <v>0</v>
      </c>
      <c r="O399" s="114">
        <f>Data!$C$3</f>
        <v>0</v>
      </c>
      <c r="Q399" s="122"/>
      <c r="R399" s="114">
        <f>Data!$B$3</f>
        <v>0</v>
      </c>
      <c r="S399" s="114">
        <f>Data!$C$3</f>
        <v>0</v>
      </c>
      <c r="T399" s="119"/>
      <c r="U399" s="119"/>
      <c r="V399" s="119"/>
      <c r="W399" s="119"/>
    </row>
    <row r="400" spans="1:23" x14ac:dyDescent="0.2">
      <c r="A400" s="122" t="s">
        <v>415</v>
      </c>
      <c r="B400" s="122" t="s">
        <v>925</v>
      </c>
      <c r="C400" s="115"/>
      <c r="D400" s="123" t="str">
        <f>IF(Kielivalinta="","",IF(Kielivalinta="Suomi",_xlfn.IFNA(VLOOKUP($A400,Data!$A$2:$C$612,2,FALSE),0),IF(Kielivalinta="Svenska",_xlfn.IFNA(VLOOKUP($B400,Data!$A$2:$C$612,2,FALSE),0))))</f>
        <v/>
      </c>
      <c r="E400" s="123" t="str">
        <f>IF(Kielivalinta="","",IF(Kielivalinta="Suomi",_xlfn.IFNA(VLOOKUP($A400,Data!$A$2:$C$612,3,FALSE),0),IF(Kielivalinta="Svenska",_xlfn.IFNA(VLOOKUP($B400,Data!$A$2:$C$612,3,FALSE),0))))</f>
        <v/>
      </c>
      <c r="F400" s="122" t="str">
        <f>IF(Kielivalinta="","",IF(Kielivalinta="Suomi","Kokoelmatietokanta",IF(Kielivalinta="Svenska","Samlingsdatabasen")))</f>
        <v/>
      </c>
      <c r="G400" s="123" t="str">
        <f>D401</f>
        <v/>
      </c>
      <c r="H400" s="123" t="str">
        <f>E401</f>
        <v/>
      </c>
      <c r="I400" s="123" t="str">
        <f t="shared" ref="I400:J404" si="0">F401</f>
        <v>Finna</v>
      </c>
      <c r="J400" s="123" t="str">
        <f t="shared" si="0"/>
        <v/>
      </c>
      <c r="K400" s="123" t="str">
        <f>E404</f>
        <v/>
      </c>
      <c r="L400" s="140"/>
      <c r="M400" s="123" t="str">
        <f>F400</f>
        <v/>
      </c>
      <c r="N400" s="123" t="str">
        <f>G400</f>
        <v/>
      </c>
      <c r="O400" s="123" t="str">
        <f>H400</f>
        <v/>
      </c>
      <c r="P400" s="140"/>
      <c r="Q400" s="123" t="str">
        <f>F402</f>
        <v/>
      </c>
      <c r="R400" s="123" t="str">
        <f>G402</f>
        <v/>
      </c>
      <c r="S400" s="123" t="str">
        <f>H402</f>
        <v/>
      </c>
      <c r="T400" s="119"/>
      <c r="U400" s="119"/>
      <c r="V400" s="119"/>
      <c r="W400" s="119"/>
    </row>
    <row r="401" spans="1:23" x14ac:dyDescent="0.2">
      <c r="A401" s="122" t="s">
        <v>416</v>
      </c>
      <c r="B401" s="122" t="s">
        <v>926</v>
      </c>
      <c r="C401" s="115"/>
      <c r="D401" s="123" t="str">
        <f>IF(Kielivalinta="","",IF(Kielivalinta="Suomi",_xlfn.IFNA(VLOOKUP($A401,Data!$A$2:$C$612,2,FALSE),0),IF(Kielivalinta="Svenska",_xlfn.IFNA(VLOOKUP($B401,Data!$A$2:$C$612,2,FALSE),0))))</f>
        <v/>
      </c>
      <c r="E401" s="123" t="str">
        <f>IF(Kielivalinta="","",IF(Kielivalinta="Suomi",_xlfn.IFNA(VLOOKUP($A401,Data!$A$2:$C$612,3,FALSE),0),IF(Kielivalinta="Svenska",_xlfn.IFNA(VLOOKUP($B401,Data!$A$2:$C$612,3,FALSE),0))))</f>
        <v/>
      </c>
      <c r="F401" s="123" t="s">
        <v>658</v>
      </c>
      <c r="G401" s="123" t="str">
        <f>D404</f>
        <v/>
      </c>
      <c r="H401" s="123" t="str">
        <f>E404</f>
        <v/>
      </c>
      <c r="I401" s="123" t="str">
        <f t="shared" si="0"/>
        <v/>
      </c>
      <c r="J401" s="123" t="str">
        <f t="shared" si="0"/>
        <v/>
      </c>
      <c r="K401" s="123" t="str">
        <f>E410</f>
        <v/>
      </c>
      <c r="L401" s="140"/>
      <c r="M401" s="123" t="str">
        <f t="shared" ref="M401:O404" si="1">F402</f>
        <v/>
      </c>
      <c r="N401" s="123" t="str">
        <f t="shared" si="1"/>
        <v/>
      </c>
      <c r="O401" s="123" t="str">
        <f t="shared" si="1"/>
        <v/>
      </c>
      <c r="P401" s="140"/>
      <c r="Q401" s="123" t="str">
        <f t="shared" ref="Q401:S402" si="2">F403</f>
        <v/>
      </c>
      <c r="R401" s="123" t="str">
        <f t="shared" si="2"/>
        <v/>
      </c>
      <c r="S401" s="123" t="str">
        <f t="shared" si="2"/>
        <v/>
      </c>
      <c r="T401" s="119"/>
      <c r="U401" s="119"/>
      <c r="V401" s="119"/>
      <c r="W401" s="119"/>
    </row>
    <row r="402" spans="1:23" x14ac:dyDescent="0.2">
      <c r="A402" s="122" t="s">
        <v>417</v>
      </c>
      <c r="B402" s="122" t="s">
        <v>927</v>
      </c>
      <c r="C402" s="115"/>
      <c r="D402" s="123" t="str">
        <f>IF(Kielivalinta="","",IF(Kielivalinta="Suomi",_xlfn.IFNA(VLOOKUP($A402,Data!$A$2:$C$612,2,FALSE),0),IF(Kielivalinta="Svenska",_xlfn.IFNA(VLOOKUP($B402,Data!$A$2:$C$612,2,FALSE),0))))</f>
        <v/>
      </c>
      <c r="E402" s="123" t="str">
        <f>IF(Kielivalinta="","",IF(Kielivalinta="Suomi",_xlfn.IFNA(VLOOKUP($A402,Data!$A$2:$C$612,3,FALSE),0),IF(Kielivalinta="Svenska",_xlfn.IFNA(VLOOKUP($B402,Data!$A$2:$C$612,3,FALSE),0))))</f>
        <v/>
      </c>
      <c r="F402" s="122" t="str">
        <f>IF(Kielivalinta="","",IF(Kielivalinta="Suomi","Bibliografiset tietokannat",IF(Kielivalinta="Svenska","Bibliografiska databasen")))</f>
        <v/>
      </c>
      <c r="G402" s="123" t="str">
        <f>D410</f>
        <v/>
      </c>
      <c r="H402" s="123" t="str">
        <f>E410</f>
        <v/>
      </c>
      <c r="I402" s="123" t="str">
        <f t="shared" si="0"/>
        <v/>
      </c>
      <c r="J402" s="123" t="str">
        <f t="shared" si="0"/>
        <v/>
      </c>
      <c r="K402" s="123" t="str">
        <f>E417</f>
        <v/>
      </c>
      <c r="L402" s="140"/>
      <c r="M402" s="123" t="str">
        <f t="shared" si="1"/>
        <v/>
      </c>
      <c r="N402" s="123" t="str">
        <f t="shared" si="1"/>
        <v/>
      </c>
      <c r="O402" s="123" t="str">
        <f t="shared" si="1"/>
        <v/>
      </c>
      <c r="P402" s="140"/>
      <c r="Q402" s="123" t="str">
        <f t="shared" si="2"/>
        <v/>
      </c>
      <c r="R402" s="123" t="str">
        <f t="shared" si="2"/>
        <v/>
      </c>
      <c r="S402" s="123" t="str">
        <f t="shared" si="2"/>
        <v/>
      </c>
      <c r="T402" s="119"/>
      <c r="U402" s="119"/>
      <c r="V402" s="119"/>
      <c r="W402" s="119"/>
    </row>
    <row r="403" spans="1:23" x14ac:dyDescent="0.2">
      <c r="A403" s="122" t="s">
        <v>418</v>
      </c>
      <c r="B403" s="122" t="s">
        <v>928</v>
      </c>
      <c r="C403" s="115"/>
      <c r="D403" s="123" t="str">
        <f>IF(Kielivalinta="","",IF(Kielivalinta="Suomi",_xlfn.IFNA(VLOOKUP($A403,Data!$A$2:$C$612,2,FALSE),0),IF(Kielivalinta="Svenska",_xlfn.IFNA(VLOOKUP($B403,Data!$A$2:$C$612,2,FALSE),0))))</f>
        <v/>
      </c>
      <c r="E403" s="123" t="str">
        <f>IF(Kielivalinta="","",IF(Kielivalinta="Suomi",_xlfn.IFNA(VLOOKUP($A403,Data!$A$2:$C$612,3,FALSE),0),IF(Kielivalinta="Svenska",_xlfn.IFNA(VLOOKUP($B403,Data!$A$2:$C$612,3,FALSE),0))))</f>
        <v/>
      </c>
      <c r="F403" s="122" t="str">
        <f>IF(Kielivalinta="","",IF(Kielivalinta="Suomi","Hakuteostietokannat",IF(Kielivalinta="Svenska","Uppslagsverkdatabasen")))</f>
        <v/>
      </c>
      <c r="G403" s="123" t="str">
        <f>D417</f>
        <v/>
      </c>
      <c r="H403" s="123" t="str">
        <f>E417</f>
        <v/>
      </c>
      <c r="I403" s="123" t="str">
        <f t="shared" si="0"/>
        <v/>
      </c>
      <c r="J403" s="123" t="str">
        <f t="shared" si="0"/>
        <v/>
      </c>
      <c r="K403" s="123" t="str">
        <f>E424</f>
        <v/>
      </c>
      <c r="L403" s="140"/>
      <c r="M403" s="123" t="str">
        <f t="shared" si="1"/>
        <v/>
      </c>
      <c r="N403" s="123" t="str">
        <f t="shared" si="1"/>
        <v/>
      </c>
      <c r="O403" s="123" t="str">
        <f t="shared" si="1"/>
        <v/>
      </c>
      <c r="P403" s="140"/>
      <c r="Q403" s="123" t="str">
        <f t="shared" ref="Q403" si="3">F405</f>
        <v/>
      </c>
      <c r="R403" s="123" t="str">
        <f t="shared" ref="R403" si="4">G405</f>
        <v/>
      </c>
      <c r="S403" s="123" t="str">
        <f t="shared" ref="S403" si="5">H405</f>
        <v/>
      </c>
      <c r="T403" s="119"/>
      <c r="U403" s="119"/>
      <c r="V403" s="119"/>
      <c r="W403" s="119"/>
    </row>
    <row r="404" spans="1:23" x14ac:dyDescent="0.2">
      <c r="A404" s="119" t="s">
        <v>419</v>
      </c>
      <c r="B404" s="119" t="s">
        <v>1173</v>
      </c>
      <c r="C404" s="115"/>
      <c r="D404" s="123" t="str">
        <f>IF(Kielivalinta="","",IF(Kielivalinta="Suomi",_xlfn.IFNA(VLOOKUP($A404,Data!$A$2:$C$612,2,FALSE),0),IF(Kielivalinta="Svenska",_xlfn.IFNA(VLOOKUP($B404,Data!$A$2:$C$612,2,FALSE),0))))</f>
        <v/>
      </c>
      <c r="E404" s="123" t="str">
        <f>IF(Kielivalinta="","",IF(Kielivalinta="Suomi",_xlfn.IFNA(VLOOKUP($A404,Data!$A$2:$C$612,3,FALSE),0),IF(Kielivalinta="Svenska",_xlfn.IFNA(VLOOKUP($B404,Data!$A$2:$C$612,3,FALSE),0))))</f>
        <v/>
      </c>
      <c r="F404" s="122" t="str">
        <f>IF(Kielivalinta="","",IF(Kielivalinta="Suomi","Sanakirjatietokannat",IF(Kielivalinta="Svenska","Ordboksdatabasen")))</f>
        <v/>
      </c>
      <c r="G404" s="123" t="str">
        <f>D424</f>
        <v/>
      </c>
      <c r="H404" s="123" t="str">
        <f>E424</f>
        <v/>
      </c>
      <c r="I404" s="123" t="str">
        <f t="shared" si="0"/>
        <v/>
      </c>
      <c r="J404" s="123" t="str">
        <f t="shared" si="0"/>
        <v/>
      </c>
      <c r="K404" s="123" t="str">
        <f>H405</f>
        <v/>
      </c>
      <c r="L404" s="140"/>
      <c r="M404" s="123" t="str">
        <f t="shared" si="1"/>
        <v/>
      </c>
      <c r="N404" s="123" t="str">
        <f t="shared" si="1"/>
        <v/>
      </c>
      <c r="O404" s="123" t="str">
        <f t="shared" si="1"/>
        <v/>
      </c>
      <c r="P404" s="140"/>
      <c r="Q404" s="138"/>
      <c r="R404" s="123"/>
      <c r="S404" s="123"/>
      <c r="T404" s="119"/>
      <c r="U404" s="119"/>
      <c r="V404" s="119"/>
      <c r="W404" s="119"/>
    </row>
    <row r="405" spans="1:23" x14ac:dyDescent="0.2">
      <c r="A405" s="119" t="s">
        <v>420</v>
      </c>
      <c r="B405" s="119" t="s">
        <v>1174</v>
      </c>
      <c r="C405" s="115"/>
      <c r="D405" s="123" t="str">
        <f>IF(Kielivalinta="","",IF(Kielivalinta="Suomi",_xlfn.IFNA(VLOOKUP($A405,Data!$A$2:$C$612,2,FALSE),0),IF(Kielivalinta="Svenska",_xlfn.IFNA(VLOOKUP($B405,Data!$A$2:$C$612,2,FALSE),0))))</f>
        <v/>
      </c>
      <c r="E405" s="123" t="str">
        <f>IF(Kielivalinta="","",IF(Kielivalinta="Suomi",_xlfn.IFNA(VLOOKUP($A405,Data!$A$2:$C$612,3,FALSE),0),IF(Kielivalinta="Svenska",_xlfn.IFNA(VLOOKUP($B405,Data!$A$2:$C$612,3,FALSE),0))))</f>
        <v/>
      </c>
      <c r="F405" s="122" t="str">
        <f>IF(Kielivalinta="","",IF(Kielivalinta="Suomi","Tietopalvelun toimeksiannot",IF(Kielivalinta="Svenska","Informationstjänst, uppdrag")))</f>
        <v/>
      </c>
      <c r="G405" s="123" t="str">
        <f>D356</f>
        <v/>
      </c>
      <c r="H405" s="123" t="str">
        <f>E356</f>
        <v/>
      </c>
      <c r="I405" s="123"/>
      <c r="J405" s="123"/>
      <c r="K405" s="140"/>
      <c r="L405" s="140"/>
      <c r="M405" s="140"/>
      <c r="N405" s="140"/>
      <c r="O405" s="140"/>
      <c r="P405" s="140"/>
      <c r="Q405" s="123"/>
      <c r="R405" s="123"/>
      <c r="S405" s="123"/>
      <c r="T405" s="119"/>
      <c r="U405" s="119"/>
      <c r="V405" s="119"/>
      <c r="W405" s="119"/>
    </row>
    <row r="406" spans="1:23" x14ac:dyDescent="0.2">
      <c r="A406" s="122" t="s">
        <v>421</v>
      </c>
      <c r="B406" s="122" t="s">
        <v>929</v>
      </c>
      <c r="C406" s="115"/>
      <c r="D406" s="123" t="str">
        <f>IF(Kielivalinta="","",IF(Kielivalinta="Suomi",_xlfn.IFNA(VLOOKUP($A406,Data!$A$2:$C$612,2,FALSE),0),IF(Kielivalinta="Svenska",_xlfn.IFNA(VLOOKUP($B406,Data!$A$2:$C$612,2,FALSE),0))))</f>
        <v/>
      </c>
      <c r="E406" s="123" t="str">
        <f>IF(Kielivalinta="","",IF(Kielivalinta="Suomi",_xlfn.IFNA(VLOOKUP($A406,Data!$A$2:$C$612,3,FALSE),0),IF(Kielivalinta="Svenska",_xlfn.IFNA(VLOOKUP($B406,Data!$A$2:$C$612,3,FALSE),0))))</f>
        <v/>
      </c>
      <c r="F406" s="123"/>
      <c r="H406" s="123"/>
      <c r="I406" s="123"/>
      <c r="J406" s="123"/>
      <c r="K406" s="140"/>
      <c r="L406" s="140"/>
      <c r="M406" s="140"/>
      <c r="N406" s="140"/>
      <c r="O406" s="140"/>
      <c r="P406" s="140"/>
      <c r="Q406" s="123"/>
      <c r="R406" s="123"/>
      <c r="S406" s="123"/>
      <c r="T406" s="119"/>
      <c r="U406" s="119"/>
      <c r="V406" s="119"/>
      <c r="W406" s="119"/>
    </row>
    <row r="407" spans="1:23" x14ac:dyDescent="0.2">
      <c r="A407" s="122" t="s">
        <v>422</v>
      </c>
      <c r="B407" s="122" t="s">
        <v>930</v>
      </c>
      <c r="C407" s="115"/>
      <c r="D407" s="123" t="str">
        <f>IF(Kielivalinta="","",IF(Kielivalinta="Suomi",_xlfn.IFNA(VLOOKUP($A407,Data!$A$2:$C$612,2,FALSE),0),IF(Kielivalinta="Svenska",_xlfn.IFNA(VLOOKUP($B407,Data!$A$2:$C$612,2,FALSE),0))))</f>
        <v/>
      </c>
      <c r="E407" s="123" t="str">
        <f>IF(Kielivalinta="","",IF(Kielivalinta="Suomi",_xlfn.IFNA(VLOOKUP($A407,Data!$A$2:$C$612,3,FALSE),0),IF(Kielivalinta="Svenska",_xlfn.IFNA(VLOOKUP($B407,Data!$A$2:$C$612,3,FALSE),0))))</f>
        <v/>
      </c>
      <c r="F407" s="123"/>
      <c r="G407" s="113" t="str">
        <f>IF(Kielivalinta="","",IF(Kielivalinta="Suomi","Katsotut dokumentit tai tietueet",IF(Kielivalinta="Svenska","Sökta dokument eller poster")))</f>
        <v/>
      </c>
      <c r="H407" s="123"/>
      <c r="I407" s="123"/>
      <c r="J407" s="123"/>
      <c r="K407" s="140"/>
      <c r="L407" s="140"/>
      <c r="M407" s="140"/>
      <c r="N407" s="140"/>
      <c r="O407" s="140"/>
      <c r="P407" s="140"/>
      <c r="Q407" s="138"/>
      <c r="R407" s="123"/>
      <c r="S407" s="123"/>
      <c r="T407" s="119"/>
      <c r="U407" s="119"/>
      <c r="V407" s="119"/>
      <c r="W407" s="119"/>
    </row>
    <row r="408" spans="1:23" x14ac:dyDescent="0.2">
      <c r="A408" s="122" t="s">
        <v>423</v>
      </c>
      <c r="B408" s="122" t="s">
        <v>931</v>
      </c>
      <c r="C408" s="115"/>
      <c r="D408" s="123" t="str">
        <f>IF(Kielivalinta="","",IF(Kielivalinta="Suomi",_xlfn.IFNA(VLOOKUP($A408,Data!$A$2:$C$612,2,FALSE),0),IF(Kielivalinta="Svenska",_xlfn.IFNA(VLOOKUP($B408,Data!$A$2:$C$612,2,FALSE),0))))</f>
        <v/>
      </c>
      <c r="E408" s="123" t="str">
        <f>IF(Kielivalinta="","",IF(Kielivalinta="Suomi",_xlfn.IFNA(VLOOKUP($A408,Data!$A$2:$C$612,3,FALSE),0),IF(Kielivalinta="Svenska",_xlfn.IFNA(VLOOKUP($B408,Data!$A$2:$C$612,3,FALSE),0))))</f>
        <v/>
      </c>
      <c r="G408" s="114" t="s">
        <v>659</v>
      </c>
      <c r="I408" s="123"/>
      <c r="J408" s="123" t="s">
        <v>661</v>
      </c>
      <c r="K408" s="140"/>
      <c r="L408" s="140"/>
      <c r="M408" s="140"/>
      <c r="N408" s="123" t="s">
        <v>664</v>
      </c>
      <c r="O408" s="140"/>
      <c r="P408" s="140"/>
      <c r="Q408" s="138"/>
      <c r="R408" s="123" t="s">
        <v>663</v>
      </c>
      <c r="S408" s="140"/>
      <c r="T408" s="119"/>
      <c r="U408" s="119"/>
      <c r="V408" s="119"/>
      <c r="W408" s="119"/>
    </row>
    <row r="409" spans="1:23" x14ac:dyDescent="0.2">
      <c r="A409" s="122" t="s">
        <v>424</v>
      </c>
      <c r="B409" s="122" t="s">
        <v>932</v>
      </c>
      <c r="C409" s="115"/>
      <c r="D409" s="123" t="str">
        <f>IF(Kielivalinta="","",IF(Kielivalinta="Suomi",_xlfn.IFNA(VLOOKUP($A409,Data!$A$2:$C$612,2,FALSE),0),IF(Kielivalinta="Svenska",_xlfn.IFNA(VLOOKUP($B409,Data!$A$2:$C$612,2,FALSE),0))))</f>
        <v/>
      </c>
      <c r="E409" s="123" t="str">
        <f>IF(Kielivalinta="","",IF(Kielivalinta="Suomi",_xlfn.IFNA(VLOOKUP($A409,Data!$A$2:$C$612,3,FALSE),0),IF(Kielivalinta="Svenska",_xlfn.IFNA(VLOOKUP($B409,Data!$A$2:$C$612,3,FALSE),0))))</f>
        <v/>
      </c>
      <c r="G409" s="119">
        <f>Data!$B$3</f>
        <v>0</v>
      </c>
      <c r="H409" s="119">
        <f>Data!$C$3</f>
        <v>0</v>
      </c>
      <c r="I409" s="123"/>
      <c r="J409" s="119">
        <f>Data!$B$3</f>
        <v>0</v>
      </c>
      <c r="K409" s="119">
        <f>Data!$C$3</f>
        <v>0</v>
      </c>
      <c r="L409" s="140"/>
      <c r="M409" s="140"/>
      <c r="N409" s="119">
        <f>Data!$B$3</f>
        <v>0</v>
      </c>
      <c r="O409" s="119">
        <f>Data!$C$3</f>
        <v>0</v>
      </c>
      <c r="P409" s="140"/>
      <c r="Q409" s="138"/>
      <c r="R409" s="119">
        <f>Data!$B$3</f>
        <v>0</v>
      </c>
      <c r="S409" s="119">
        <f>Data!$C$3</f>
        <v>0</v>
      </c>
      <c r="T409" s="119"/>
      <c r="U409" s="119"/>
      <c r="V409" s="119"/>
      <c r="W409" s="119"/>
    </row>
    <row r="410" spans="1:23" x14ac:dyDescent="0.2">
      <c r="A410" s="122" t="s">
        <v>425</v>
      </c>
      <c r="B410" s="122" t="s">
        <v>933</v>
      </c>
      <c r="C410" s="115"/>
      <c r="D410" s="123" t="str">
        <f>IF(Kielivalinta="","",IF(Kielivalinta="Suomi",_xlfn.IFNA(VLOOKUP($A410,Data!$A$2:$C$612,2,FALSE),0),IF(Kielivalinta="Svenska",_xlfn.IFNA(VLOOKUP($B410,Data!$A$2:$C$612,2,FALSE),0))))</f>
        <v/>
      </c>
      <c r="E410" s="123" t="str">
        <f>IF(Kielivalinta="","",IF(Kielivalinta="Suomi",_xlfn.IFNA(VLOOKUP($A410,Data!$A$2:$C$612,3,FALSE),0),IF(Kielivalinta="Svenska",_xlfn.IFNA(VLOOKUP($B410,Data!$A$2:$C$612,3,FALSE),0))))</f>
        <v/>
      </c>
      <c r="F410" s="122" t="str">
        <f>IF(Kielivalinta="","",IF(Kielivalinta="Suomi","Kokoelmatietokanta",IF(Kielivalinta="Svenska","Samlingsdatabasen")))</f>
        <v/>
      </c>
      <c r="G410" s="123" t="str">
        <f>D400</f>
        <v/>
      </c>
      <c r="H410" s="123" t="str">
        <f>E400</f>
        <v/>
      </c>
      <c r="I410" s="123" t="str">
        <f>F411</f>
        <v/>
      </c>
      <c r="J410" s="123" t="str">
        <f t="shared" ref="J410:K410" si="6">G411</f>
        <v/>
      </c>
      <c r="K410" s="123" t="str">
        <f t="shared" si="6"/>
        <v/>
      </c>
      <c r="L410" s="140"/>
      <c r="M410" s="140" t="str">
        <f>F410</f>
        <v/>
      </c>
      <c r="N410" s="140" t="str">
        <f t="shared" ref="N410:O410" si="7">G410</f>
        <v/>
      </c>
      <c r="O410" s="140" t="str">
        <f t="shared" si="7"/>
        <v/>
      </c>
      <c r="P410" s="140"/>
      <c r="Q410" s="138" t="str">
        <f>F412</f>
        <v/>
      </c>
      <c r="R410" s="138" t="str">
        <f t="shared" ref="R410:S413" si="8">G412</f>
        <v/>
      </c>
      <c r="S410" s="138" t="str">
        <f t="shared" si="8"/>
        <v/>
      </c>
      <c r="T410" s="119"/>
      <c r="U410" s="119"/>
      <c r="V410" s="119"/>
      <c r="W410" s="119"/>
    </row>
    <row r="411" spans="1:23" x14ac:dyDescent="0.2">
      <c r="A411" s="122" t="s">
        <v>426</v>
      </c>
      <c r="B411" s="122" t="s">
        <v>934</v>
      </c>
      <c r="C411" s="115"/>
      <c r="D411" s="123" t="str">
        <f>IF(Kielivalinta="","",IF(Kielivalinta="Suomi",_xlfn.IFNA(VLOOKUP($A411,Data!$A$2:$C$612,2,FALSE),0),IF(Kielivalinta="Svenska",_xlfn.IFNA(VLOOKUP($B411,Data!$A$2:$C$612,2,FALSE),0))))</f>
        <v/>
      </c>
      <c r="E411" s="123" t="str">
        <f>IF(Kielivalinta="","",IF(Kielivalinta="Suomi",_xlfn.IFNA(VLOOKUP($A411,Data!$A$2:$C$612,3,FALSE),0),IF(Kielivalinta="Svenska",_xlfn.IFNA(VLOOKUP($B411,Data!$A$2:$C$612,3,FALSE),0))))</f>
        <v/>
      </c>
      <c r="F411" s="122" t="str">
        <f>IF(Kielivalinta="","",IF(Kielivalinta="Suomi","Bibliografiset tietokannat",IF(Kielivalinta="Svenska","Bibliografiska databasen")))</f>
        <v/>
      </c>
      <c r="G411" s="123" t="str">
        <f>D407</f>
        <v/>
      </c>
      <c r="H411" s="123" t="str">
        <f>E407</f>
        <v/>
      </c>
      <c r="I411" s="123" t="str">
        <f t="shared" ref="I411:I414" si="9">F412</f>
        <v/>
      </c>
      <c r="J411" s="123" t="str">
        <f t="shared" ref="J411:J414" si="10">G412</f>
        <v/>
      </c>
      <c r="K411" s="123" t="str">
        <f t="shared" ref="K411:K414" si="11">H412</f>
        <v/>
      </c>
      <c r="L411" s="140"/>
      <c r="M411" s="140" t="str">
        <f>F412</f>
        <v/>
      </c>
      <c r="N411" s="140" t="str">
        <f t="shared" ref="N411:O414" si="12">G412</f>
        <v/>
      </c>
      <c r="O411" s="140" t="str">
        <f t="shared" si="12"/>
        <v/>
      </c>
      <c r="P411" s="140"/>
      <c r="Q411" s="138" t="str">
        <f t="shared" ref="Q411:Q413" si="13">F413</f>
        <v/>
      </c>
      <c r="R411" s="138" t="str">
        <f t="shared" si="8"/>
        <v/>
      </c>
      <c r="S411" s="138" t="str">
        <f t="shared" si="8"/>
        <v/>
      </c>
      <c r="T411" s="119"/>
      <c r="U411" s="119"/>
      <c r="V411" s="119"/>
      <c r="W411" s="119"/>
    </row>
    <row r="412" spans="1:23" x14ac:dyDescent="0.2">
      <c r="A412" s="122" t="s">
        <v>427</v>
      </c>
      <c r="B412" s="122" t="s">
        <v>935</v>
      </c>
      <c r="C412" s="115"/>
      <c r="D412" s="123" t="str">
        <f>IF(Kielivalinta="","",IF(Kielivalinta="Suomi",_xlfn.IFNA(VLOOKUP($A412,Data!$A$2:$C$612,2,FALSE),0),IF(Kielivalinta="Svenska",_xlfn.IFNA(VLOOKUP($B412,Data!$A$2:$C$612,2,FALSE),0))))</f>
        <v/>
      </c>
      <c r="E412" s="123" t="str">
        <f>IF(Kielivalinta="","",IF(Kielivalinta="Suomi",_xlfn.IFNA(VLOOKUP($A412,Data!$A$2:$C$612,3,FALSE),0),IF(Kielivalinta="Svenska",_xlfn.IFNA(VLOOKUP($B412,Data!$A$2:$C$612,3,FALSE),0))))</f>
        <v/>
      </c>
      <c r="F412" s="122" t="str">
        <f>IF(Kielivalinta="","",IF(Kielivalinta="Suomi","Hakuteostietokannat",IF(Kielivalinta="Svenska","Uppslagsverkdatabasen")))</f>
        <v/>
      </c>
      <c r="G412" s="123" t="str">
        <f>D414</f>
        <v/>
      </c>
      <c r="H412" s="123" t="str">
        <f>E414</f>
        <v/>
      </c>
      <c r="I412" s="123" t="str">
        <f t="shared" si="9"/>
        <v/>
      </c>
      <c r="J412" s="123" t="str">
        <f t="shared" si="10"/>
        <v/>
      </c>
      <c r="K412" s="123" t="str">
        <f t="shared" si="11"/>
        <v/>
      </c>
      <c r="L412" s="140"/>
      <c r="M412" s="140" t="str">
        <f t="shared" ref="M412:M414" si="14">F413</f>
        <v/>
      </c>
      <c r="N412" s="140" t="str">
        <f t="shared" si="12"/>
        <v/>
      </c>
      <c r="O412" s="140" t="str">
        <f t="shared" si="12"/>
        <v/>
      </c>
      <c r="P412" s="140"/>
      <c r="Q412" s="138" t="str">
        <f t="shared" si="13"/>
        <v/>
      </c>
      <c r="R412" s="138" t="str">
        <f t="shared" si="8"/>
        <v/>
      </c>
      <c r="S412" s="138" t="str">
        <f t="shared" si="8"/>
        <v/>
      </c>
      <c r="T412" s="119"/>
      <c r="U412" s="119"/>
      <c r="V412" s="119"/>
      <c r="W412" s="119"/>
    </row>
    <row r="413" spans="1:23" x14ac:dyDescent="0.2">
      <c r="A413" s="122" t="s">
        <v>428</v>
      </c>
      <c r="B413" s="122" t="s">
        <v>936</v>
      </c>
      <c r="C413" s="115"/>
      <c r="D413" s="123" t="str">
        <f>IF(Kielivalinta="","",IF(Kielivalinta="Suomi",_xlfn.IFNA(VLOOKUP($A413,Data!$A$2:$C$612,2,FALSE),0),IF(Kielivalinta="Svenska",_xlfn.IFNA(VLOOKUP($B413,Data!$A$2:$C$612,2,FALSE),0))))</f>
        <v/>
      </c>
      <c r="E413" s="123" t="str">
        <f>IF(Kielivalinta="","",IF(Kielivalinta="Suomi",_xlfn.IFNA(VLOOKUP($A413,Data!$A$2:$C$612,3,FALSE),0),IF(Kielivalinta="Svenska",_xlfn.IFNA(VLOOKUP($B413,Data!$A$2:$C$612,3,FALSE),0))))</f>
        <v/>
      </c>
      <c r="F413" s="122" t="str">
        <f>IF(Kielivalinta="","",IF(Kielivalinta="Suomi","Sanakirjatietokannat",IF(Kielivalinta="Svenska","Ordboksdatabasen")))</f>
        <v/>
      </c>
      <c r="G413" s="123" t="str">
        <f>D421</f>
        <v/>
      </c>
      <c r="H413" s="123" t="str">
        <f>E421</f>
        <v/>
      </c>
      <c r="I413" s="123" t="str">
        <f t="shared" si="9"/>
        <v/>
      </c>
      <c r="J413" s="123" t="str">
        <f t="shared" si="10"/>
        <v/>
      </c>
      <c r="K413" s="123" t="str">
        <f t="shared" si="11"/>
        <v/>
      </c>
      <c r="L413" s="140"/>
      <c r="M413" s="140" t="str">
        <f t="shared" si="14"/>
        <v/>
      </c>
      <c r="N413" s="140" t="str">
        <f t="shared" si="12"/>
        <v/>
      </c>
      <c r="O413" s="140" t="str">
        <f t="shared" si="12"/>
        <v/>
      </c>
      <c r="P413" s="140"/>
      <c r="Q413" s="138" t="str">
        <f t="shared" si="13"/>
        <v/>
      </c>
      <c r="R413" s="138" t="str">
        <f t="shared" si="8"/>
        <v/>
      </c>
      <c r="S413" s="138" t="str">
        <f t="shared" si="8"/>
        <v/>
      </c>
      <c r="T413" s="119"/>
      <c r="U413" s="119"/>
      <c r="V413" s="119"/>
      <c r="W413" s="119"/>
    </row>
    <row r="414" spans="1:23" x14ac:dyDescent="0.2">
      <c r="A414" s="122" t="s">
        <v>429</v>
      </c>
      <c r="B414" s="122" t="s">
        <v>937</v>
      </c>
      <c r="C414" s="115"/>
      <c r="D414" s="123" t="str">
        <f>IF(Kielivalinta="","",IF(Kielivalinta="Suomi",_xlfn.IFNA(VLOOKUP($A414,Data!$A$2:$C$612,2,FALSE),0),IF(Kielivalinta="Svenska",_xlfn.IFNA(VLOOKUP($B414,Data!$A$2:$C$612,2,FALSE),0))))</f>
        <v/>
      </c>
      <c r="E414" s="123" t="str">
        <f>IF(Kielivalinta="","",IF(Kielivalinta="Suomi",_xlfn.IFNA(VLOOKUP($A414,Data!$A$2:$C$612,3,FALSE),0),IF(Kielivalinta="Svenska",_xlfn.IFNA(VLOOKUP($B414,Data!$A$2:$C$612,3,FALSE),0))))</f>
        <v/>
      </c>
      <c r="F414" s="122" t="str">
        <f>IF(Kielivalinta="","",IF(Kielivalinta="Suomi","E-lehdet",IF(Kielivalinta="Svenska","E-periodika")))</f>
        <v/>
      </c>
      <c r="G414" s="123" t="str">
        <f>D428</f>
        <v/>
      </c>
      <c r="H414" s="123" t="str">
        <f>E428</f>
        <v/>
      </c>
      <c r="I414" s="123" t="str">
        <f t="shared" si="9"/>
        <v/>
      </c>
      <c r="J414" s="123" t="str">
        <f t="shared" si="10"/>
        <v/>
      </c>
      <c r="K414" s="123" t="str">
        <f t="shared" si="11"/>
        <v/>
      </c>
      <c r="L414" s="140"/>
      <c r="M414" s="140" t="str">
        <f t="shared" si="14"/>
        <v/>
      </c>
      <c r="N414" s="140" t="str">
        <f t="shared" si="12"/>
        <v/>
      </c>
      <c r="O414" s="140" t="str">
        <f t="shared" si="12"/>
        <v/>
      </c>
      <c r="P414" s="140"/>
      <c r="Q414" s="138" t="str">
        <f t="shared" ref="Q414" si="15">F416</f>
        <v/>
      </c>
      <c r="R414" s="138" t="str">
        <f t="shared" ref="R414" si="16">G416</f>
        <v/>
      </c>
      <c r="S414" s="138" t="str">
        <f t="shared" ref="S414" si="17">H416</f>
        <v/>
      </c>
      <c r="T414" s="119"/>
      <c r="U414" s="119"/>
      <c r="V414" s="119"/>
      <c r="W414" s="119"/>
    </row>
    <row r="415" spans="1:23" x14ac:dyDescent="0.2">
      <c r="A415" s="122" t="s">
        <v>430</v>
      </c>
      <c r="B415" s="122" t="s">
        <v>938</v>
      </c>
      <c r="C415" s="115"/>
      <c r="D415" s="123" t="str">
        <f>IF(Kielivalinta="","",IF(Kielivalinta="Suomi",_xlfn.IFNA(VLOOKUP($A415,Data!$A$2:$C$612,2,FALSE),0),IF(Kielivalinta="Svenska",_xlfn.IFNA(VLOOKUP($B415,Data!$A$2:$C$612,2,FALSE),0))))</f>
        <v/>
      </c>
      <c r="E415" s="123" t="str">
        <f>IF(Kielivalinta="","",IF(Kielivalinta="Suomi",_xlfn.IFNA(VLOOKUP($A415,Data!$A$2:$C$612,3,FALSE),0),IF(Kielivalinta="Svenska",_xlfn.IFNA(VLOOKUP($B415,Data!$A$2:$C$612,3,FALSE),0))))</f>
        <v/>
      </c>
      <c r="F415" s="122" t="str">
        <f>IF(Kielivalinta="","",IF(Kielivalinta="Suomi","E-kirjat",IF(Kielivalinta="Svenska","E-böcker")))</f>
        <v/>
      </c>
      <c r="G415" s="123" t="str">
        <f>D432</f>
        <v/>
      </c>
      <c r="H415" s="123" t="str">
        <f>E432</f>
        <v/>
      </c>
      <c r="I415" s="123" t="str">
        <f t="shared" ref="I415" si="18">F416</f>
        <v/>
      </c>
      <c r="J415" s="123" t="str">
        <f t="shared" ref="J415" si="19">G416</f>
        <v/>
      </c>
      <c r="K415" s="123" t="str">
        <f t="shared" ref="K415" si="20">H416</f>
        <v/>
      </c>
      <c r="L415" s="140"/>
      <c r="M415" s="140" t="str">
        <f t="shared" ref="M415" si="21">F416</f>
        <v/>
      </c>
      <c r="N415" s="140" t="str">
        <f t="shared" ref="N415" si="22">G416</f>
        <v/>
      </c>
      <c r="O415" s="140" t="str">
        <f t="shared" ref="O415" si="23">H416</f>
        <v/>
      </c>
      <c r="P415" s="140"/>
      <c r="Q415" s="138"/>
      <c r="R415" s="123"/>
      <c r="S415" s="123"/>
      <c r="T415" s="119"/>
      <c r="U415" s="119"/>
      <c r="V415" s="119"/>
      <c r="W415" s="119"/>
    </row>
    <row r="416" spans="1:23" x14ac:dyDescent="0.2">
      <c r="A416" s="122" t="s">
        <v>431</v>
      </c>
      <c r="B416" s="122" t="s">
        <v>939</v>
      </c>
      <c r="C416" s="115"/>
      <c r="D416" s="123" t="str">
        <f>IF(Kielivalinta="","",IF(Kielivalinta="Suomi",_xlfn.IFNA(VLOOKUP($A416,Data!$A$2:$C$612,2,FALSE),0),IF(Kielivalinta="Svenska",_xlfn.IFNA(VLOOKUP($B416,Data!$A$2:$C$612,2,FALSE),0))))</f>
        <v/>
      </c>
      <c r="E416" s="123" t="str">
        <f>IF(Kielivalinta="","",IF(Kielivalinta="Suomi",_xlfn.IFNA(VLOOKUP($A416,Data!$A$2:$C$612,3,FALSE),0),IF(Kielivalinta="Svenska",_xlfn.IFNA(VLOOKUP($B416,Data!$A$2:$C$612,3,FALSE),0))))</f>
        <v/>
      </c>
      <c r="F416" s="122" t="str">
        <f>IF(Kielivalinta="","",IF(Kielivalinta="Suomi","Muu e-aineistot",IF(Kielivalinta="Svenska","Övrigt e-material")))</f>
        <v/>
      </c>
      <c r="G416" s="123" t="str">
        <f>D436</f>
        <v/>
      </c>
      <c r="H416" s="123" t="str">
        <f>E436</f>
        <v/>
      </c>
      <c r="I416" s="123"/>
      <c r="J416" s="123"/>
      <c r="K416" s="140"/>
      <c r="L416" s="140"/>
      <c r="M416" s="140"/>
      <c r="N416" s="140"/>
      <c r="O416" s="140"/>
      <c r="P416" s="140"/>
      <c r="Q416" s="138"/>
      <c r="R416" s="123"/>
      <c r="S416" s="123"/>
      <c r="T416" s="119"/>
      <c r="U416" s="119"/>
      <c r="V416" s="119"/>
      <c r="W416" s="119"/>
    </row>
    <row r="417" spans="1:23" x14ac:dyDescent="0.2">
      <c r="A417" s="122" t="s">
        <v>432</v>
      </c>
      <c r="B417" s="122" t="s">
        <v>940</v>
      </c>
      <c r="C417" s="115"/>
      <c r="D417" s="123" t="str">
        <f>IF(Kielivalinta="","",IF(Kielivalinta="Suomi",_xlfn.IFNA(VLOOKUP($A417,Data!$A$2:$C$612,2,FALSE),0),IF(Kielivalinta="Svenska",_xlfn.IFNA(VLOOKUP($B417,Data!$A$2:$C$612,2,FALSE),0))))</f>
        <v/>
      </c>
      <c r="E417" s="123" t="str">
        <f>IF(Kielivalinta="","",IF(Kielivalinta="Suomi",_xlfn.IFNA(VLOOKUP($A417,Data!$A$2:$C$612,3,FALSE),0),IF(Kielivalinta="Svenska",_xlfn.IFNA(VLOOKUP($B417,Data!$A$2:$C$612,3,FALSE),0))))</f>
        <v/>
      </c>
      <c r="G417" s="140"/>
      <c r="I417" s="123"/>
      <c r="J417" s="123"/>
      <c r="K417" s="140"/>
      <c r="L417" s="140"/>
      <c r="M417" s="140"/>
      <c r="N417" s="140"/>
      <c r="O417" s="140"/>
      <c r="P417" s="140"/>
      <c r="Q417" s="138"/>
      <c r="R417" s="123"/>
      <c r="S417" s="123"/>
      <c r="T417" s="119"/>
      <c r="U417" s="119"/>
      <c r="V417" s="119"/>
      <c r="W417" s="119"/>
    </row>
    <row r="418" spans="1:23" x14ac:dyDescent="0.2">
      <c r="A418" s="122" t="s">
        <v>433</v>
      </c>
      <c r="B418" s="122" t="s">
        <v>941</v>
      </c>
      <c r="C418" s="115"/>
      <c r="D418" s="123" t="str">
        <f>IF(Kielivalinta="","",IF(Kielivalinta="Suomi",_xlfn.IFNA(VLOOKUP($A418,Data!$A$2:$C$612,2,FALSE),0),IF(Kielivalinta="Svenska",_xlfn.IFNA(VLOOKUP($B418,Data!$A$2:$C$612,2,FALSE),0))))</f>
        <v/>
      </c>
      <c r="E418" s="123" t="str">
        <f>IF(Kielivalinta="","",IF(Kielivalinta="Suomi",_xlfn.IFNA(VLOOKUP($A418,Data!$A$2:$C$612,3,FALSE),0),IF(Kielivalinta="Svenska",_xlfn.IFNA(VLOOKUP($B418,Data!$A$2:$C$612,3,FALSE),0))))</f>
        <v/>
      </c>
      <c r="F418" s="131"/>
      <c r="G418" s="119">
        <f>Data!$B$3</f>
        <v>0</v>
      </c>
      <c r="H418" s="119">
        <f>Data!$C$3</f>
        <v>0</v>
      </c>
      <c r="I418" s="123"/>
      <c r="J418" s="123"/>
      <c r="K418" s="140"/>
      <c r="L418" s="140"/>
      <c r="M418" s="140"/>
      <c r="N418" s="140"/>
      <c r="O418" s="140"/>
      <c r="P418" s="140"/>
      <c r="Q418" s="138"/>
      <c r="R418" s="123"/>
      <c r="S418" s="123"/>
      <c r="T418" s="119"/>
      <c r="U418" s="119"/>
      <c r="V418" s="119"/>
      <c r="W418" s="119"/>
    </row>
    <row r="419" spans="1:23" x14ac:dyDescent="0.2">
      <c r="A419" s="122" t="s">
        <v>434</v>
      </c>
      <c r="B419" s="122" t="s">
        <v>942</v>
      </c>
      <c r="C419" s="115"/>
      <c r="D419" s="123" t="str">
        <f>IF(Kielivalinta="","",IF(Kielivalinta="Suomi",_xlfn.IFNA(VLOOKUP($A419,Data!$A$2:$C$612,2,FALSE),0),IF(Kielivalinta="Svenska",_xlfn.IFNA(VLOOKUP($B419,Data!$A$2:$C$612,2,FALSE),0))))</f>
        <v/>
      </c>
      <c r="E419" s="123" t="str">
        <f>IF(Kielivalinta="","",IF(Kielivalinta="Suomi",_xlfn.IFNA(VLOOKUP($A419,Data!$A$2:$C$612,3,FALSE),0),IF(Kielivalinta="Svenska",_xlfn.IFNA(VLOOKUP($B419,Data!$A$2:$C$612,3,FALSE),0))))</f>
        <v/>
      </c>
      <c r="F419" s="145" t="str">
        <f>F414</f>
        <v/>
      </c>
      <c r="G419" s="123" t="str">
        <f>D428</f>
        <v/>
      </c>
      <c r="H419" s="123" t="str">
        <f>E428</f>
        <v/>
      </c>
      <c r="I419" s="123"/>
      <c r="J419" s="123"/>
      <c r="K419" s="140"/>
      <c r="L419" s="140"/>
      <c r="M419" s="140"/>
      <c r="N419" s="140"/>
      <c r="O419" s="140"/>
      <c r="P419" s="140"/>
      <c r="Q419" s="138"/>
      <c r="R419" s="123"/>
      <c r="S419" s="123"/>
      <c r="T419" s="119"/>
      <c r="U419" s="119"/>
      <c r="V419" s="119"/>
      <c r="W419" s="119"/>
    </row>
    <row r="420" spans="1:23" x14ac:dyDescent="0.2">
      <c r="A420" s="122" t="s">
        <v>435</v>
      </c>
      <c r="B420" s="122" t="s">
        <v>943</v>
      </c>
      <c r="C420" s="115"/>
      <c r="D420" s="123" t="str">
        <f>IF(Kielivalinta="","",IF(Kielivalinta="Suomi",_xlfn.IFNA(VLOOKUP($A420,Data!$A$2:$C$612,2,FALSE),0),IF(Kielivalinta="Svenska",_xlfn.IFNA(VLOOKUP($B420,Data!$A$2:$C$612,2,FALSE),0))))</f>
        <v/>
      </c>
      <c r="E420" s="123" t="str">
        <f>IF(Kielivalinta="","",IF(Kielivalinta="Suomi",_xlfn.IFNA(VLOOKUP($A420,Data!$A$2:$C$612,3,FALSE),0),IF(Kielivalinta="Svenska",_xlfn.IFNA(VLOOKUP($B420,Data!$A$2:$C$612,3,FALSE),0))))</f>
        <v/>
      </c>
      <c r="F420" s="145" t="str">
        <f t="shared" ref="F420:F421" si="24">F415</f>
        <v/>
      </c>
      <c r="G420" s="123" t="str">
        <f>D432</f>
        <v/>
      </c>
      <c r="H420" s="123" t="str">
        <f>E432</f>
        <v/>
      </c>
      <c r="I420" s="123"/>
      <c r="J420" s="123"/>
      <c r="K420" s="140"/>
      <c r="L420" s="140"/>
      <c r="M420" s="140"/>
      <c r="N420" s="140"/>
      <c r="O420" s="140"/>
      <c r="P420" s="140"/>
      <c r="Q420" s="138"/>
      <c r="R420" s="123"/>
      <c r="S420" s="123"/>
      <c r="T420" s="119"/>
      <c r="U420" s="119"/>
      <c r="V420" s="119"/>
      <c r="W420" s="119"/>
    </row>
    <row r="421" spans="1:23" x14ac:dyDescent="0.2">
      <c r="A421" s="122" t="s">
        <v>436</v>
      </c>
      <c r="B421" s="122" t="s">
        <v>944</v>
      </c>
      <c r="C421" s="115"/>
      <c r="D421" s="123" t="str">
        <f>IF(Kielivalinta="","",IF(Kielivalinta="Suomi",_xlfn.IFNA(VLOOKUP($A421,Data!$A$2:$C$612,2,FALSE),0),IF(Kielivalinta="Svenska",_xlfn.IFNA(VLOOKUP($B421,Data!$A$2:$C$612,2,FALSE),0))))</f>
        <v/>
      </c>
      <c r="E421" s="123" t="str">
        <f>IF(Kielivalinta="","",IF(Kielivalinta="Suomi",_xlfn.IFNA(VLOOKUP($A421,Data!$A$2:$C$612,3,FALSE),0),IF(Kielivalinta="Svenska",_xlfn.IFNA(VLOOKUP($B421,Data!$A$2:$C$612,3,FALSE),0))))</f>
        <v/>
      </c>
      <c r="F421" s="145" t="str">
        <f t="shared" si="24"/>
        <v/>
      </c>
      <c r="G421" s="123" t="str">
        <f>IFERROR(D400+D407+D414+D421+D436,"")</f>
        <v/>
      </c>
      <c r="H421" s="123" t="str">
        <f>IFERROR(E400+E407+E414+E421+E436,"")</f>
        <v/>
      </c>
      <c r="I421" s="123"/>
      <c r="J421" s="123"/>
      <c r="K421" s="140"/>
      <c r="L421" s="140"/>
      <c r="M421" s="140"/>
      <c r="N421" s="140"/>
      <c r="O421" s="140"/>
      <c r="P421" s="140"/>
      <c r="Q421" s="138"/>
      <c r="R421" s="123"/>
      <c r="S421" s="123"/>
      <c r="T421" s="119"/>
      <c r="U421" s="119"/>
      <c r="V421" s="119"/>
      <c r="W421" s="119"/>
    </row>
    <row r="422" spans="1:23" x14ac:dyDescent="0.2">
      <c r="A422" s="122" t="s">
        <v>437</v>
      </c>
      <c r="B422" s="122" t="s">
        <v>945</v>
      </c>
      <c r="C422" s="115"/>
      <c r="D422" s="123" t="str">
        <f>IF(Kielivalinta="","",IF(Kielivalinta="Suomi",_xlfn.IFNA(VLOOKUP($A422,Data!$A$2:$C$612,2,FALSE),0),IF(Kielivalinta="Svenska",_xlfn.IFNA(VLOOKUP($B422,Data!$A$2:$C$612,2,FALSE),0))))</f>
        <v/>
      </c>
      <c r="E422" s="123" t="str">
        <f>IF(Kielivalinta="","",IF(Kielivalinta="Suomi",_xlfn.IFNA(VLOOKUP($A422,Data!$A$2:$C$612,3,FALSE),0),IF(Kielivalinta="Svenska",_xlfn.IFNA(VLOOKUP($B422,Data!$A$2:$C$612,3,FALSE),0))))</f>
        <v/>
      </c>
      <c r="F422" s="123"/>
      <c r="G422" s="123"/>
      <c r="H422" s="123"/>
      <c r="I422" s="123"/>
      <c r="J422" s="123"/>
      <c r="K422" s="140"/>
      <c r="L422" s="140"/>
      <c r="M422" s="140"/>
      <c r="N422" s="140"/>
      <c r="O422" s="140"/>
      <c r="P422" s="140"/>
      <c r="Q422" s="138"/>
      <c r="R422" s="123"/>
      <c r="S422" s="123"/>
      <c r="T422" s="119"/>
      <c r="U422" s="119"/>
      <c r="V422" s="119"/>
      <c r="W422" s="119"/>
    </row>
    <row r="423" spans="1:23" x14ac:dyDescent="0.2">
      <c r="A423" s="122" t="s">
        <v>438</v>
      </c>
      <c r="B423" s="122" t="s">
        <v>946</v>
      </c>
      <c r="C423" s="115"/>
      <c r="D423" s="123" t="str">
        <f>IF(Kielivalinta="","",IF(Kielivalinta="Suomi",_xlfn.IFNA(VLOOKUP($A423,Data!$A$2:$C$612,2,FALSE),0),IF(Kielivalinta="Svenska",_xlfn.IFNA(VLOOKUP($B423,Data!$A$2:$C$612,2,FALSE),0))))</f>
        <v/>
      </c>
      <c r="E423" s="123" t="str">
        <f>IF(Kielivalinta="","",IF(Kielivalinta="Suomi",_xlfn.IFNA(VLOOKUP($A423,Data!$A$2:$C$612,3,FALSE),0),IF(Kielivalinta="Svenska",_xlfn.IFNA(VLOOKUP($B423,Data!$A$2:$C$612,3,FALSE),0))))</f>
        <v/>
      </c>
      <c r="F423" s="119"/>
      <c r="G423" s="119"/>
      <c r="H423" s="119"/>
      <c r="I423" s="119"/>
      <c r="J423" s="119"/>
      <c r="Q423" s="122"/>
      <c r="R423" s="119"/>
      <c r="S423" s="119"/>
      <c r="T423" s="119"/>
      <c r="U423" s="119"/>
      <c r="V423" s="119"/>
      <c r="W423" s="119"/>
    </row>
    <row r="424" spans="1:23" x14ac:dyDescent="0.2">
      <c r="A424" s="122" t="s">
        <v>439</v>
      </c>
      <c r="B424" s="122" t="s">
        <v>947</v>
      </c>
      <c r="C424" s="115"/>
      <c r="D424" s="123" t="str">
        <f>IF(Kielivalinta="","",IF(Kielivalinta="Suomi",_xlfn.IFNA(VLOOKUP($A424,Data!$A$2:$C$612,2,FALSE),0),IF(Kielivalinta="Svenska",_xlfn.IFNA(VLOOKUP($B424,Data!$A$2:$C$612,2,FALSE),0))))</f>
        <v/>
      </c>
      <c r="E424" s="123" t="str">
        <f>IF(Kielivalinta="","",IF(Kielivalinta="Suomi",_xlfn.IFNA(VLOOKUP($A424,Data!$A$2:$C$612,3,FALSE),0),IF(Kielivalinta="Svenska",_xlfn.IFNA(VLOOKUP($B424,Data!$A$2:$C$612,3,FALSE),0))))</f>
        <v/>
      </c>
      <c r="F424" s="119"/>
      <c r="G424" s="119"/>
      <c r="H424" s="119"/>
      <c r="I424" s="119"/>
      <c r="J424" s="119"/>
      <c r="Q424" s="122"/>
      <c r="R424" s="119"/>
      <c r="S424" s="119"/>
      <c r="T424" s="119"/>
      <c r="U424" s="119"/>
      <c r="V424" s="119"/>
      <c r="W424" s="119"/>
    </row>
    <row r="425" spans="1:23" x14ac:dyDescent="0.2">
      <c r="A425" s="122" t="s">
        <v>440</v>
      </c>
      <c r="B425" s="122" t="s">
        <v>948</v>
      </c>
      <c r="C425" s="115"/>
      <c r="D425" s="123" t="str">
        <f>IF(Kielivalinta="","",IF(Kielivalinta="Suomi",_xlfn.IFNA(VLOOKUP($A425,Data!$A$2:$C$612,2,FALSE),0),IF(Kielivalinta="Svenska",_xlfn.IFNA(VLOOKUP($B425,Data!$A$2:$C$612,2,FALSE),0))))</f>
        <v/>
      </c>
      <c r="E425" s="123" t="str">
        <f>IF(Kielivalinta="","",IF(Kielivalinta="Suomi",_xlfn.IFNA(VLOOKUP($A425,Data!$A$2:$C$612,3,FALSE),0),IF(Kielivalinta="Svenska",_xlfn.IFNA(VLOOKUP($B425,Data!$A$2:$C$612,3,FALSE),0))))</f>
        <v/>
      </c>
      <c r="F425" s="119"/>
      <c r="G425" s="119"/>
      <c r="H425" s="119"/>
      <c r="I425" s="119"/>
      <c r="J425" s="119"/>
      <c r="Q425" s="122"/>
      <c r="R425" s="119"/>
      <c r="S425" s="119"/>
      <c r="T425" s="119"/>
      <c r="U425" s="119"/>
      <c r="V425" s="119"/>
      <c r="W425" s="119"/>
    </row>
    <row r="426" spans="1:23" x14ac:dyDescent="0.2">
      <c r="A426" s="122" t="s">
        <v>441</v>
      </c>
      <c r="B426" s="122" t="s">
        <v>949</v>
      </c>
      <c r="C426" s="115"/>
      <c r="D426" s="123" t="str">
        <f>IF(Kielivalinta="","",IF(Kielivalinta="Suomi",_xlfn.IFNA(VLOOKUP($A426,Data!$A$2:$C$612,2,FALSE),0),IF(Kielivalinta="Svenska",_xlfn.IFNA(VLOOKUP($B426,Data!$A$2:$C$612,2,FALSE),0))))</f>
        <v/>
      </c>
      <c r="E426" s="123" t="str">
        <f>IF(Kielivalinta="","",IF(Kielivalinta="Suomi",_xlfn.IFNA(VLOOKUP($A426,Data!$A$2:$C$612,3,FALSE),0),IF(Kielivalinta="Svenska",_xlfn.IFNA(VLOOKUP($B426,Data!$A$2:$C$612,3,FALSE),0))))</f>
        <v/>
      </c>
      <c r="F426" s="119"/>
      <c r="G426" s="119"/>
      <c r="H426" s="119"/>
      <c r="I426" s="119"/>
      <c r="J426" s="119"/>
      <c r="Q426" s="122"/>
      <c r="R426" s="119"/>
      <c r="S426" s="119"/>
      <c r="T426" s="119"/>
      <c r="U426" s="119"/>
      <c r="V426" s="119"/>
      <c r="W426" s="119"/>
    </row>
    <row r="427" spans="1:23" x14ac:dyDescent="0.2">
      <c r="A427" s="122" t="s">
        <v>442</v>
      </c>
      <c r="B427" s="122" t="s">
        <v>950</v>
      </c>
      <c r="C427" s="115"/>
      <c r="D427" s="123" t="str">
        <f>IF(Kielivalinta="","",IF(Kielivalinta="Suomi",_xlfn.IFNA(VLOOKUP($A427,Data!$A$2:$C$612,2,FALSE),0),IF(Kielivalinta="Svenska",_xlfn.IFNA(VLOOKUP($B427,Data!$A$2:$C$612,2,FALSE),0))))</f>
        <v/>
      </c>
      <c r="E427" s="123" t="str">
        <f>IF(Kielivalinta="","",IF(Kielivalinta="Suomi",_xlfn.IFNA(VLOOKUP($A427,Data!$A$2:$C$612,3,FALSE),0),IF(Kielivalinta="Svenska",_xlfn.IFNA(VLOOKUP($B427,Data!$A$2:$C$612,3,FALSE),0))))</f>
        <v/>
      </c>
      <c r="F427" s="119"/>
      <c r="G427" s="119"/>
      <c r="H427" s="119"/>
      <c r="I427" s="119"/>
      <c r="J427" s="119"/>
      <c r="Q427" s="122"/>
      <c r="R427" s="119"/>
      <c r="S427" s="119"/>
      <c r="T427" s="119"/>
      <c r="U427" s="119"/>
      <c r="V427" s="119"/>
      <c r="W427" s="119"/>
    </row>
    <row r="428" spans="1:23" x14ac:dyDescent="0.2">
      <c r="A428" s="122" t="s">
        <v>443</v>
      </c>
      <c r="B428" s="122" t="s">
        <v>951</v>
      </c>
      <c r="C428" s="115"/>
      <c r="D428" s="123" t="str">
        <f>IF(Kielivalinta="","",IF(Kielivalinta="Suomi",_xlfn.IFNA(VLOOKUP($A428,Data!$A$2:$C$612,2,FALSE),0),IF(Kielivalinta="Svenska",_xlfn.IFNA(VLOOKUP($B428,Data!$A$2:$C$612,2,FALSE),0))))</f>
        <v/>
      </c>
      <c r="E428" s="123" t="str">
        <f>IF(Kielivalinta="","",IF(Kielivalinta="Suomi",_xlfn.IFNA(VLOOKUP($A428,Data!$A$2:$C$612,3,FALSE),0),IF(Kielivalinta="Svenska",_xlfn.IFNA(VLOOKUP($B428,Data!$A$2:$C$612,3,FALSE),0))))</f>
        <v/>
      </c>
      <c r="F428" s="119"/>
      <c r="G428" s="119"/>
      <c r="H428" s="119"/>
      <c r="I428" s="119"/>
      <c r="J428" s="119"/>
      <c r="Q428" s="122"/>
      <c r="R428" s="119"/>
      <c r="S428" s="119"/>
      <c r="T428" s="119"/>
      <c r="U428" s="119"/>
      <c r="V428" s="119"/>
      <c r="W428" s="119"/>
    </row>
    <row r="429" spans="1:23" x14ac:dyDescent="0.2">
      <c r="A429" s="122" t="s">
        <v>444</v>
      </c>
      <c r="B429" s="122" t="s">
        <v>952</v>
      </c>
      <c r="C429" s="115"/>
      <c r="D429" s="123" t="str">
        <f>IF(Kielivalinta="","",IF(Kielivalinta="Suomi",_xlfn.IFNA(VLOOKUP($A429,Data!$A$2:$C$612,2,FALSE),0),IF(Kielivalinta="Svenska",_xlfn.IFNA(VLOOKUP($B429,Data!$A$2:$C$612,2,FALSE),0))))</f>
        <v/>
      </c>
      <c r="E429" s="123" t="str">
        <f>IF(Kielivalinta="","",IF(Kielivalinta="Suomi",_xlfn.IFNA(VLOOKUP($A429,Data!$A$2:$C$612,3,FALSE),0),IF(Kielivalinta="Svenska",_xlfn.IFNA(VLOOKUP($B429,Data!$A$2:$C$612,3,FALSE),0))))</f>
        <v/>
      </c>
      <c r="F429" s="119"/>
      <c r="G429" s="119"/>
      <c r="H429" s="119"/>
      <c r="I429" s="119"/>
      <c r="J429" s="119"/>
      <c r="Q429" s="122"/>
      <c r="R429" s="119"/>
      <c r="S429" s="119"/>
      <c r="T429" s="119"/>
      <c r="U429" s="119"/>
      <c r="V429" s="119"/>
      <c r="W429" s="119"/>
    </row>
    <row r="430" spans="1:23" x14ac:dyDescent="0.2">
      <c r="A430" s="122" t="s">
        <v>445</v>
      </c>
      <c r="B430" s="122" t="s">
        <v>953</v>
      </c>
      <c r="C430" s="115"/>
      <c r="D430" s="123" t="str">
        <f>IF(Kielivalinta="","",IF(Kielivalinta="Suomi",_xlfn.IFNA(VLOOKUP($A430,Data!$A$2:$C$612,2,FALSE),0),IF(Kielivalinta="Svenska",_xlfn.IFNA(VLOOKUP($B430,Data!$A$2:$C$612,2,FALSE),0))))</f>
        <v/>
      </c>
      <c r="E430" s="123" t="str">
        <f>IF(Kielivalinta="","",IF(Kielivalinta="Suomi",_xlfn.IFNA(VLOOKUP($A430,Data!$A$2:$C$612,3,FALSE),0),IF(Kielivalinta="Svenska",_xlfn.IFNA(VLOOKUP($B430,Data!$A$2:$C$612,3,FALSE),0))))</f>
        <v/>
      </c>
      <c r="F430" s="119"/>
      <c r="G430" s="119"/>
      <c r="H430" s="119"/>
      <c r="I430" s="119"/>
      <c r="J430" s="119"/>
      <c r="Q430" s="122"/>
      <c r="R430" s="119"/>
      <c r="S430" s="119"/>
      <c r="T430" s="119"/>
      <c r="U430" s="119"/>
      <c r="V430" s="119"/>
      <c r="W430" s="119"/>
    </row>
    <row r="431" spans="1:23" x14ac:dyDescent="0.2">
      <c r="A431" s="122" t="s">
        <v>446</v>
      </c>
      <c r="B431" s="122" t="s">
        <v>954</v>
      </c>
      <c r="C431" s="115"/>
      <c r="D431" s="123" t="str">
        <f>IF(Kielivalinta="","",IF(Kielivalinta="Suomi",_xlfn.IFNA(VLOOKUP($A431,Data!$A$2:$C$612,2,FALSE),0),IF(Kielivalinta="Svenska",_xlfn.IFNA(VLOOKUP($B431,Data!$A$2:$C$612,2,FALSE),0))))</f>
        <v/>
      </c>
      <c r="E431" s="123" t="str">
        <f>IF(Kielivalinta="","",IF(Kielivalinta="Suomi",_xlfn.IFNA(VLOOKUP($A431,Data!$A$2:$C$612,3,FALSE),0),IF(Kielivalinta="Svenska",_xlfn.IFNA(VLOOKUP($B431,Data!$A$2:$C$612,3,FALSE),0))))</f>
        <v/>
      </c>
      <c r="F431" s="119"/>
      <c r="G431" s="119"/>
      <c r="H431" s="119"/>
      <c r="I431" s="119"/>
      <c r="J431" s="119"/>
      <c r="Q431" s="122"/>
      <c r="R431" s="119"/>
      <c r="S431" s="119"/>
      <c r="T431" s="119"/>
      <c r="U431" s="119"/>
      <c r="V431" s="119"/>
      <c r="W431" s="119"/>
    </row>
    <row r="432" spans="1:23" x14ac:dyDescent="0.2">
      <c r="A432" s="122" t="s">
        <v>447</v>
      </c>
      <c r="B432" s="122" t="s">
        <v>955</v>
      </c>
      <c r="C432" s="115"/>
      <c r="D432" s="123" t="str">
        <f>IF(Kielivalinta="","",IF(Kielivalinta="Suomi",_xlfn.IFNA(VLOOKUP($A432,Data!$A$2:$C$612,2,FALSE),0),IF(Kielivalinta="Svenska",_xlfn.IFNA(VLOOKUP($B432,Data!$A$2:$C$612,2,FALSE),0))))</f>
        <v/>
      </c>
      <c r="E432" s="123" t="str">
        <f>IF(Kielivalinta="","",IF(Kielivalinta="Suomi",_xlfn.IFNA(VLOOKUP($A432,Data!$A$2:$C$612,3,FALSE),0),IF(Kielivalinta="Svenska",_xlfn.IFNA(VLOOKUP($B432,Data!$A$2:$C$612,3,FALSE),0))))</f>
        <v/>
      </c>
      <c r="F432" s="119"/>
      <c r="G432" s="119"/>
      <c r="H432" s="119"/>
      <c r="I432" s="119"/>
      <c r="J432" s="119"/>
      <c r="Q432" s="122"/>
      <c r="R432" s="119"/>
      <c r="S432" s="119"/>
      <c r="T432" s="119"/>
      <c r="U432" s="119"/>
      <c r="V432" s="119"/>
      <c r="W432" s="119"/>
    </row>
    <row r="433" spans="1:23" x14ac:dyDescent="0.2">
      <c r="A433" s="122" t="s">
        <v>448</v>
      </c>
      <c r="B433" s="122" t="s">
        <v>956</v>
      </c>
      <c r="C433" s="115"/>
      <c r="D433" s="123" t="str">
        <f>IF(Kielivalinta="","",IF(Kielivalinta="Suomi",_xlfn.IFNA(VLOOKUP($A433,Data!$A$2:$C$612,2,FALSE),0),IF(Kielivalinta="Svenska",_xlfn.IFNA(VLOOKUP($B433,Data!$A$2:$C$612,2,FALSE),0))))</f>
        <v/>
      </c>
      <c r="E433" s="123" t="str">
        <f>IF(Kielivalinta="","",IF(Kielivalinta="Suomi",_xlfn.IFNA(VLOOKUP($A433,Data!$A$2:$C$612,3,FALSE),0),IF(Kielivalinta="Svenska",_xlfn.IFNA(VLOOKUP($B433,Data!$A$2:$C$612,3,FALSE),0))))</f>
        <v/>
      </c>
      <c r="F433" s="119"/>
      <c r="G433" s="119"/>
      <c r="H433" s="119"/>
      <c r="I433" s="119"/>
      <c r="J433" s="119"/>
      <c r="Q433" s="122"/>
      <c r="R433" s="119"/>
      <c r="S433" s="119"/>
      <c r="T433" s="119"/>
      <c r="U433" s="119"/>
      <c r="V433" s="119"/>
      <c r="W433" s="119"/>
    </row>
    <row r="434" spans="1:23" x14ac:dyDescent="0.2">
      <c r="A434" s="122" t="s">
        <v>449</v>
      </c>
      <c r="B434" s="122" t="s">
        <v>957</v>
      </c>
      <c r="C434" s="115"/>
      <c r="D434" s="123" t="str">
        <f>IF(Kielivalinta="","",IF(Kielivalinta="Suomi",_xlfn.IFNA(VLOOKUP($A434,Data!$A$2:$C$612,2,FALSE),0),IF(Kielivalinta="Svenska",_xlfn.IFNA(VLOOKUP($B434,Data!$A$2:$C$612,2,FALSE),0))))</f>
        <v/>
      </c>
      <c r="E434" s="123" t="str">
        <f>IF(Kielivalinta="","",IF(Kielivalinta="Suomi",_xlfn.IFNA(VLOOKUP($A434,Data!$A$2:$C$612,3,FALSE),0),IF(Kielivalinta="Svenska",_xlfn.IFNA(VLOOKUP($B434,Data!$A$2:$C$612,3,FALSE),0))))</f>
        <v/>
      </c>
      <c r="F434" s="119"/>
      <c r="G434" s="119"/>
      <c r="H434" s="119"/>
      <c r="I434" s="119"/>
      <c r="J434" s="119"/>
      <c r="Q434" s="122"/>
      <c r="R434" s="119"/>
      <c r="S434" s="119"/>
      <c r="T434" s="119"/>
      <c r="U434" s="119"/>
      <c r="V434" s="119"/>
      <c r="W434" s="119"/>
    </row>
    <row r="435" spans="1:23" x14ac:dyDescent="0.2">
      <c r="A435" s="122" t="s">
        <v>450</v>
      </c>
      <c r="B435" s="122" t="s">
        <v>958</v>
      </c>
      <c r="C435" s="115"/>
      <c r="D435" s="123" t="str">
        <f>IF(Kielivalinta="","",IF(Kielivalinta="Suomi",_xlfn.IFNA(VLOOKUP($A435,Data!$A$2:$C$612,2,FALSE),0),IF(Kielivalinta="Svenska",_xlfn.IFNA(VLOOKUP($B435,Data!$A$2:$C$612,2,FALSE),0))))</f>
        <v/>
      </c>
      <c r="E435" s="123" t="str">
        <f>IF(Kielivalinta="","",IF(Kielivalinta="Suomi",_xlfn.IFNA(VLOOKUP($A435,Data!$A$2:$C$612,3,FALSE),0),IF(Kielivalinta="Svenska",_xlfn.IFNA(VLOOKUP($B435,Data!$A$2:$C$612,3,FALSE),0))))</f>
        <v/>
      </c>
      <c r="F435" s="119"/>
      <c r="G435" s="119"/>
      <c r="H435" s="119"/>
      <c r="I435" s="119"/>
      <c r="J435" s="119"/>
      <c r="Q435" s="122"/>
      <c r="R435" s="119"/>
      <c r="S435" s="119"/>
      <c r="T435" s="119"/>
      <c r="U435" s="119"/>
      <c r="V435" s="119"/>
      <c r="W435" s="119"/>
    </row>
    <row r="436" spans="1:23" x14ac:dyDescent="0.2">
      <c r="A436" s="122" t="s">
        <v>451</v>
      </c>
      <c r="B436" s="122" t="s">
        <v>959</v>
      </c>
      <c r="C436" s="115"/>
      <c r="D436" s="123" t="str">
        <f>IF(Kielivalinta="","",IF(Kielivalinta="Suomi",_xlfn.IFNA(VLOOKUP($A436,Data!$A$2:$C$612,2,FALSE),0),IF(Kielivalinta="Svenska",_xlfn.IFNA(VLOOKUP($B436,Data!$A$2:$C$612,2,FALSE),0))))</f>
        <v/>
      </c>
      <c r="E436" s="123" t="str">
        <f>IF(Kielivalinta="","",IF(Kielivalinta="Suomi",_xlfn.IFNA(VLOOKUP($A436,Data!$A$2:$C$612,3,FALSE),0),IF(Kielivalinta="Svenska",_xlfn.IFNA(VLOOKUP($B436,Data!$A$2:$C$612,3,FALSE),0))))</f>
        <v/>
      </c>
      <c r="F436" s="119"/>
      <c r="G436" s="119"/>
      <c r="H436" s="119"/>
      <c r="I436" s="119"/>
      <c r="J436" s="119"/>
      <c r="Q436" s="122"/>
      <c r="R436" s="119"/>
      <c r="S436" s="119"/>
      <c r="T436" s="119"/>
      <c r="U436" s="119"/>
      <c r="V436" s="119"/>
      <c r="W436" s="119"/>
    </row>
    <row r="437" spans="1:23" x14ac:dyDescent="0.2">
      <c r="A437" s="122" t="s">
        <v>452</v>
      </c>
      <c r="B437" s="122" t="s">
        <v>960</v>
      </c>
      <c r="C437" s="115"/>
      <c r="D437" s="123" t="str">
        <f>IF(Kielivalinta="","",IF(Kielivalinta="Suomi",_xlfn.IFNA(VLOOKUP($A437,Data!$A$2:$C$612,2,FALSE),0),IF(Kielivalinta="Svenska",_xlfn.IFNA(VLOOKUP($B437,Data!$A$2:$C$612,2,FALSE),0))))</f>
        <v/>
      </c>
      <c r="E437" s="123" t="str">
        <f>IF(Kielivalinta="","",IF(Kielivalinta="Suomi",_xlfn.IFNA(VLOOKUP($A437,Data!$A$2:$C$612,3,FALSE),0),IF(Kielivalinta="Svenska",_xlfn.IFNA(VLOOKUP($B437,Data!$A$2:$C$612,3,FALSE),0))))</f>
        <v/>
      </c>
      <c r="F437" s="119"/>
      <c r="G437" s="119"/>
      <c r="H437" s="119"/>
      <c r="I437" s="119"/>
      <c r="J437" s="119"/>
      <c r="Q437" s="122"/>
      <c r="R437" s="119"/>
      <c r="S437" s="119"/>
      <c r="T437" s="119"/>
      <c r="U437" s="119"/>
      <c r="V437" s="119"/>
      <c r="W437" s="119"/>
    </row>
    <row r="438" spans="1:23" x14ac:dyDescent="0.2">
      <c r="A438" s="122" t="s">
        <v>453</v>
      </c>
      <c r="B438" s="122" t="s">
        <v>961</v>
      </c>
      <c r="C438" s="115"/>
      <c r="D438" s="123" t="str">
        <f>IF(Kielivalinta="","",IF(Kielivalinta="Suomi",_xlfn.IFNA(VLOOKUP($A438,Data!$A$2:$C$612,2,FALSE),0),IF(Kielivalinta="Svenska",_xlfn.IFNA(VLOOKUP($B438,Data!$A$2:$C$612,2,FALSE),0))))</f>
        <v/>
      </c>
      <c r="E438" s="123" t="str">
        <f>IF(Kielivalinta="","",IF(Kielivalinta="Suomi",_xlfn.IFNA(VLOOKUP($A438,Data!$A$2:$C$612,3,FALSE),0),IF(Kielivalinta="Svenska",_xlfn.IFNA(VLOOKUP($B438,Data!$A$2:$C$612,3,FALSE),0))))</f>
        <v/>
      </c>
      <c r="F438" s="119"/>
      <c r="G438" s="119"/>
      <c r="H438" s="119"/>
      <c r="I438" s="119"/>
      <c r="J438" s="119"/>
      <c r="Q438" s="122"/>
      <c r="R438" s="119"/>
      <c r="S438" s="119"/>
      <c r="T438" s="119"/>
      <c r="U438" s="119"/>
      <c r="V438" s="119"/>
      <c r="W438" s="119"/>
    </row>
    <row r="439" spans="1:23" x14ac:dyDescent="0.2">
      <c r="A439" s="122" t="s">
        <v>454</v>
      </c>
      <c r="B439" s="122" t="s">
        <v>962</v>
      </c>
      <c r="C439" s="115"/>
      <c r="D439" s="123" t="str">
        <f>IF(Kielivalinta="","",IF(Kielivalinta="Suomi",_xlfn.IFNA(VLOOKUP($A439,Data!$A$2:$C$612,2,FALSE),0),IF(Kielivalinta="Svenska",_xlfn.IFNA(VLOOKUP($B439,Data!$A$2:$C$612,2,FALSE),0))))</f>
        <v/>
      </c>
      <c r="E439" s="123" t="str">
        <f>IF(Kielivalinta="","",IF(Kielivalinta="Suomi",_xlfn.IFNA(VLOOKUP($A439,Data!$A$2:$C$612,3,FALSE),0),IF(Kielivalinta="Svenska",_xlfn.IFNA(VLOOKUP($B439,Data!$A$2:$C$612,3,FALSE),0))))</f>
        <v/>
      </c>
      <c r="F439" s="119"/>
      <c r="G439" s="119"/>
      <c r="H439" s="119"/>
      <c r="I439" s="119"/>
      <c r="J439" s="119"/>
      <c r="Q439" s="122"/>
      <c r="R439" s="119"/>
      <c r="S439" s="119"/>
      <c r="T439" s="119"/>
      <c r="U439" s="119"/>
      <c r="V439" s="119"/>
      <c r="W439" s="119"/>
    </row>
    <row r="440" spans="1:23" x14ac:dyDescent="0.2">
      <c r="A440" s="122" t="s">
        <v>455</v>
      </c>
      <c r="B440" s="122" t="s">
        <v>963</v>
      </c>
      <c r="C440" s="115"/>
      <c r="D440" s="123" t="str">
        <f>IF(Kielivalinta="","",IF(Kielivalinta="Suomi",_xlfn.IFNA(VLOOKUP($A440,Data!$A$2:$C$612,2,FALSE),0),IF(Kielivalinta="Svenska",_xlfn.IFNA(VLOOKUP($B440,Data!$A$2:$C$612,2,FALSE),0))))</f>
        <v/>
      </c>
      <c r="E440" s="123" t="str">
        <f>IF(Kielivalinta="","",IF(Kielivalinta="Suomi",_xlfn.IFNA(VLOOKUP($A440,Data!$A$2:$C$612,3,FALSE),0),IF(Kielivalinta="Svenska",_xlfn.IFNA(VLOOKUP($B440,Data!$A$2:$C$612,3,FALSE),0))))</f>
        <v/>
      </c>
      <c r="F440" s="119"/>
      <c r="G440" s="119"/>
      <c r="H440" s="119"/>
      <c r="I440" s="119"/>
      <c r="J440" s="119"/>
      <c r="Q440" s="122"/>
      <c r="R440" s="119"/>
      <c r="S440" s="119"/>
      <c r="T440" s="119"/>
      <c r="U440" s="119"/>
      <c r="V440" s="119"/>
      <c r="W440" s="119"/>
    </row>
    <row r="441" spans="1:23" x14ac:dyDescent="0.2">
      <c r="A441" s="122" t="s">
        <v>456</v>
      </c>
      <c r="B441" s="122" t="s">
        <v>964</v>
      </c>
      <c r="C441" s="115"/>
      <c r="D441" s="123" t="str">
        <f>IF(Kielivalinta="","",IF(Kielivalinta="Suomi",_xlfn.IFNA(VLOOKUP($A441,Data!$A$2:$C$612,2,FALSE),0),IF(Kielivalinta="Svenska",_xlfn.IFNA(VLOOKUP($B441,Data!$A$2:$C$612,2,FALSE),0))))</f>
        <v/>
      </c>
      <c r="E441" s="123" t="str">
        <f>IF(Kielivalinta="","",IF(Kielivalinta="Suomi",_xlfn.IFNA(VLOOKUP($A441,Data!$A$2:$C$612,3,FALSE),0),IF(Kielivalinta="Svenska",_xlfn.IFNA(VLOOKUP($B441,Data!$A$2:$C$612,3,FALSE),0))))</f>
        <v/>
      </c>
      <c r="F441" s="119"/>
      <c r="G441" s="119"/>
      <c r="H441" s="119"/>
      <c r="I441" s="119"/>
      <c r="J441" s="119"/>
      <c r="Q441" s="122"/>
      <c r="R441" s="119"/>
      <c r="S441" s="119"/>
      <c r="T441" s="119"/>
      <c r="U441" s="119"/>
      <c r="V441" s="119"/>
      <c r="W441" s="119"/>
    </row>
    <row r="442" spans="1:23" x14ac:dyDescent="0.2">
      <c r="A442" s="122" t="s">
        <v>1278</v>
      </c>
      <c r="B442" s="122" t="s">
        <v>1286</v>
      </c>
      <c r="C442" s="115"/>
      <c r="D442" s="123" t="str">
        <f>IF(Kielivalinta="","",IF(Kielivalinta="Suomi",_xlfn.IFNA(VLOOKUP($A442,Data!$A$2:$C$612,2,FALSE),0),IF(Kielivalinta="Svenska",_xlfn.IFNA(VLOOKUP($B442,Data!$A$2:$C$612,2,FALSE),0))))</f>
        <v/>
      </c>
      <c r="E442" s="123" t="str">
        <f>IF(Kielivalinta="","",IF(Kielivalinta="Suomi",_xlfn.IFNA(VLOOKUP($A442,Data!$A$2:$C$612,3,FALSE),0),IF(Kielivalinta="Svenska",_xlfn.IFNA(VLOOKUP($B442,Data!$A$2:$C$612,3,FALSE),0))))</f>
        <v/>
      </c>
      <c r="F442" s="119"/>
      <c r="G442" s="119"/>
      <c r="H442" s="119"/>
      <c r="I442" s="119"/>
      <c r="J442" s="119"/>
      <c r="Q442" s="122"/>
      <c r="R442" s="119"/>
      <c r="S442" s="119"/>
      <c r="T442" s="119"/>
      <c r="U442" s="119"/>
      <c r="V442" s="119"/>
      <c r="W442" s="119"/>
    </row>
    <row r="443" spans="1:23" x14ac:dyDescent="0.2">
      <c r="A443" s="122" t="s">
        <v>1279</v>
      </c>
      <c r="B443" s="122" t="s">
        <v>1287</v>
      </c>
      <c r="C443" s="115"/>
      <c r="D443" s="123" t="str">
        <f>IF(Kielivalinta="","",IF(Kielivalinta="Suomi",_xlfn.IFNA(VLOOKUP($A443,Data!$A$2:$C$612,2,FALSE),0),IF(Kielivalinta="Svenska",_xlfn.IFNA(VLOOKUP($B443,Data!$A$2:$C$612,2,FALSE),0))))</f>
        <v/>
      </c>
      <c r="E443" s="123" t="str">
        <f>IF(Kielivalinta="","",IF(Kielivalinta="Suomi",_xlfn.IFNA(VLOOKUP($A443,Data!$A$2:$C$612,3,FALSE),0),IF(Kielivalinta="Svenska",_xlfn.IFNA(VLOOKUP($B443,Data!$A$2:$C$612,3,FALSE),0))))</f>
        <v/>
      </c>
      <c r="F443" s="119"/>
      <c r="G443" s="119"/>
      <c r="H443" s="119"/>
      <c r="I443" s="119"/>
      <c r="J443" s="119"/>
      <c r="Q443" s="122"/>
      <c r="R443" s="119"/>
      <c r="S443" s="119"/>
      <c r="T443" s="119"/>
      <c r="U443" s="119"/>
      <c r="V443" s="119"/>
      <c r="W443" s="119"/>
    </row>
    <row r="444" spans="1:23" x14ac:dyDescent="0.2">
      <c r="A444" s="122" t="s">
        <v>1280</v>
      </c>
      <c r="B444" s="122" t="s">
        <v>1288</v>
      </c>
      <c r="C444" s="115"/>
      <c r="D444" s="123" t="str">
        <f>IF(Kielivalinta="","",IF(Kielivalinta="Suomi",_xlfn.IFNA(VLOOKUP($A444,Data!$A$2:$C$612,2,FALSE),0),IF(Kielivalinta="Svenska",_xlfn.IFNA(VLOOKUP($B444,Data!$A$2:$C$612,2,FALSE),0))))</f>
        <v/>
      </c>
      <c r="E444" s="123" t="str">
        <f>IF(Kielivalinta="","",IF(Kielivalinta="Suomi",_xlfn.IFNA(VLOOKUP($A444,Data!$A$2:$C$612,3,FALSE),0),IF(Kielivalinta="Svenska",_xlfn.IFNA(VLOOKUP($B444,Data!$A$2:$C$612,3,FALSE),0))))</f>
        <v/>
      </c>
      <c r="F444" s="119"/>
      <c r="G444" s="119"/>
      <c r="H444" s="119"/>
      <c r="I444" s="119"/>
      <c r="J444" s="119"/>
      <c r="Q444" s="122"/>
      <c r="R444" s="119"/>
      <c r="S444" s="119"/>
      <c r="T444" s="119"/>
      <c r="U444" s="119"/>
      <c r="V444" s="119"/>
      <c r="W444" s="119"/>
    </row>
    <row r="445" spans="1:23" x14ac:dyDescent="0.2">
      <c r="A445" s="122" t="s">
        <v>1281</v>
      </c>
      <c r="B445" s="122" t="s">
        <v>1289</v>
      </c>
      <c r="C445" s="115"/>
      <c r="D445" s="123" t="str">
        <f>IF(Kielivalinta="","",IF(Kielivalinta="Suomi",_xlfn.IFNA(VLOOKUP($A445,Data!$A$2:$C$612,2,FALSE),0),IF(Kielivalinta="Svenska",_xlfn.IFNA(VLOOKUP($B445,Data!$A$2:$C$612,2,FALSE),0))))</f>
        <v/>
      </c>
      <c r="E445" s="123" t="str">
        <f>IF(Kielivalinta="","",IF(Kielivalinta="Suomi",_xlfn.IFNA(VLOOKUP($A445,Data!$A$2:$C$612,3,FALSE),0),IF(Kielivalinta="Svenska",_xlfn.IFNA(VLOOKUP($B445,Data!$A$2:$C$612,3,FALSE),0))))</f>
        <v/>
      </c>
      <c r="F445" s="119"/>
      <c r="G445" s="119"/>
      <c r="H445" s="119"/>
      <c r="I445" s="119"/>
      <c r="J445" s="119"/>
      <c r="Q445" s="122"/>
      <c r="R445" s="119"/>
      <c r="S445" s="119"/>
      <c r="T445" s="119"/>
      <c r="U445" s="119"/>
      <c r="V445" s="119"/>
      <c r="W445" s="119"/>
    </row>
    <row r="446" spans="1:23" x14ac:dyDescent="0.2">
      <c r="A446" s="119" t="s">
        <v>1282</v>
      </c>
      <c r="B446" s="119" t="s">
        <v>1290</v>
      </c>
      <c r="C446" s="115"/>
      <c r="D446" s="123" t="str">
        <f>IF(Kielivalinta="","",IF(Kielivalinta="Suomi",_xlfn.IFNA(VLOOKUP($A446,Data!$A$2:$C$612,2,FALSE),0),IF(Kielivalinta="Svenska",_xlfn.IFNA(VLOOKUP($B446,Data!$A$2:$C$612,2,FALSE),0))))</f>
        <v/>
      </c>
      <c r="E446" s="123" t="str">
        <f>IF(Kielivalinta="","",IF(Kielivalinta="Suomi",_xlfn.IFNA(VLOOKUP($A446,Data!$A$2:$C$612,3,FALSE),0),IF(Kielivalinta="Svenska",_xlfn.IFNA(VLOOKUP($B446,Data!$A$2:$C$612,3,FALSE),0))))</f>
        <v/>
      </c>
      <c r="F446" s="119"/>
      <c r="G446" s="119"/>
      <c r="H446" s="119"/>
      <c r="I446" s="119"/>
      <c r="J446" s="119"/>
      <c r="Q446" s="119"/>
      <c r="R446" s="119"/>
      <c r="S446" s="119"/>
      <c r="T446" s="119"/>
      <c r="U446" s="119"/>
      <c r="V446" s="119"/>
      <c r="W446" s="119"/>
    </row>
    <row r="447" spans="1:23" x14ac:dyDescent="0.2">
      <c r="A447" s="122" t="s">
        <v>457</v>
      </c>
      <c r="B447" s="122" t="s">
        <v>965</v>
      </c>
      <c r="C447" s="115"/>
      <c r="D447" s="123" t="str">
        <f>IF(Kielivalinta="","",IF(Kielivalinta="Suomi",_xlfn.IFNA(VLOOKUP($A447,Data!$A$2:$C$612,2,FALSE),0),IF(Kielivalinta="Svenska",_xlfn.IFNA(VLOOKUP($B447,Data!$A$2:$C$612,2,FALSE),0))))</f>
        <v/>
      </c>
      <c r="E447" s="123" t="str">
        <f>IF(Kielivalinta="","",IF(Kielivalinta="Suomi",_xlfn.IFNA(VLOOKUP($A447,Data!$A$2:$C$612,3,FALSE),0),IF(Kielivalinta="Svenska",_xlfn.IFNA(VLOOKUP($B447,Data!$A$2:$C$612,3,FALSE),0))))</f>
        <v/>
      </c>
      <c r="F447" s="119"/>
      <c r="G447" s="119"/>
      <c r="H447" s="119"/>
      <c r="I447" s="119"/>
      <c r="J447" s="119"/>
      <c r="Q447" s="122"/>
      <c r="R447" s="119"/>
      <c r="S447" s="119"/>
      <c r="T447" s="119"/>
      <c r="U447" s="119"/>
      <c r="V447" s="119"/>
      <c r="W447" s="119"/>
    </row>
    <row r="448" spans="1:23" x14ac:dyDescent="0.2">
      <c r="A448" s="122" t="s">
        <v>458</v>
      </c>
      <c r="B448" s="122" t="s">
        <v>1175</v>
      </c>
      <c r="C448" s="115"/>
      <c r="D448" s="123" t="str">
        <f>IF(Kielivalinta="","",IF(Kielivalinta="Suomi",_xlfn.IFNA(VLOOKUP($A448,Data!$A$2:$C$612,2,FALSE),0),IF(Kielivalinta="Svenska",_xlfn.IFNA(VLOOKUP($B448,Data!$A$2:$C$612,2,FALSE),0))))</f>
        <v/>
      </c>
      <c r="E448" s="123" t="str">
        <f>IF(Kielivalinta="","",IF(Kielivalinta="Suomi",_xlfn.IFNA(VLOOKUP($A448,Data!$A$2:$C$612,3,FALSE),0),IF(Kielivalinta="Svenska",_xlfn.IFNA(VLOOKUP($B448,Data!$A$2:$C$612,3,FALSE),0))))</f>
        <v/>
      </c>
      <c r="F448" s="119"/>
      <c r="G448" s="119"/>
      <c r="H448" s="119"/>
      <c r="I448" s="119"/>
      <c r="J448" s="119"/>
      <c r="Q448" s="122"/>
      <c r="R448" s="119"/>
      <c r="S448" s="119"/>
      <c r="T448" s="119"/>
      <c r="U448" s="119"/>
      <c r="V448" s="119"/>
      <c r="W448" s="119"/>
    </row>
    <row r="449" spans="1:23" x14ac:dyDescent="0.2">
      <c r="A449" s="122" t="s">
        <v>459</v>
      </c>
      <c r="B449" s="122" t="s">
        <v>966</v>
      </c>
      <c r="C449" s="115"/>
      <c r="D449" s="123" t="str">
        <f>IF(Kielivalinta="","",IF(Kielivalinta="Suomi",_xlfn.IFNA(VLOOKUP($A449,Data!$A$2:$C$612,2,FALSE),0),IF(Kielivalinta="Svenska",_xlfn.IFNA(VLOOKUP($B449,Data!$A$2:$C$612,2,FALSE),0))))</f>
        <v/>
      </c>
      <c r="E449" s="123" t="str">
        <f>IF(Kielivalinta="","",IF(Kielivalinta="Suomi",_xlfn.IFNA(VLOOKUP($A449,Data!$A$2:$C$612,3,FALSE),0),IF(Kielivalinta="Svenska",_xlfn.IFNA(VLOOKUP($B449,Data!$A$2:$C$612,3,FALSE),0))))</f>
        <v/>
      </c>
      <c r="F449" s="119"/>
      <c r="G449" s="119"/>
      <c r="H449" s="119"/>
      <c r="I449" s="119"/>
      <c r="J449" s="119"/>
      <c r="Q449" s="122"/>
      <c r="R449" s="119"/>
      <c r="S449" s="119"/>
      <c r="T449" s="119"/>
      <c r="U449" s="119"/>
      <c r="V449" s="119"/>
      <c r="W449" s="119"/>
    </row>
    <row r="450" spans="1:23" x14ac:dyDescent="0.2">
      <c r="A450" s="122" t="s">
        <v>460</v>
      </c>
      <c r="B450" s="122" t="s">
        <v>967</v>
      </c>
      <c r="C450" s="115"/>
      <c r="D450" s="123" t="str">
        <f>IF(Kielivalinta="","",IF(Kielivalinta="Suomi",_xlfn.IFNA(VLOOKUP($A450,Data!$A$2:$C$612,2,FALSE),0),IF(Kielivalinta="Svenska",_xlfn.IFNA(VLOOKUP($B450,Data!$A$2:$C$612,2,FALSE),0))))</f>
        <v/>
      </c>
      <c r="E450" s="123" t="str">
        <f>IF(Kielivalinta="","",IF(Kielivalinta="Suomi",_xlfn.IFNA(VLOOKUP($A450,Data!$A$2:$C$612,3,FALSE),0),IF(Kielivalinta="Svenska",_xlfn.IFNA(VLOOKUP($B450,Data!$A$2:$C$612,3,FALSE),0))))</f>
        <v/>
      </c>
      <c r="F450" s="137" t="str">
        <f>IF(Kielivalinta="","",IF(Kielivalinta="Suomi","Kirjastokäynnit",IF(Kielivalinta="Svenska","Biblioteksbesök")))</f>
        <v/>
      </c>
      <c r="G450" s="119">
        <f>Data!$B$3</f>
        <v>0</v>
      </c>
      <c r="H450" s="119">
        <f>Data!$C$3</f>
        <v>0</v>
      </c>
      <c r="I450" s="119"/>
      <c r="J450" s="119"/>
      <c r="Q450" s="122"/>
      <c r="R450" s="119"/>
      <c r="S450" s="119"/>
      <c r="T450" s="119"/>
      <c r="U450" s="119"/>
      <c r="V450" s="119"/>
      <c r="W450" s="119"/>
    </row>
    <row r="451" spans="1:23" x14ac:dyDescent="0.2">
      <c r="A451" s="119" t="s">
        <v>461</v>
      </c>
      <c r="B451" s="119" t="s">
        <v>1176</v>
      </c>
      <c r="C451" s="115"/>
      <c r="D451" s="123" t="str">
        <f>IF(Kielivalinta="","",IF(Kielivalinta="Suomi",_xlfn.IFNA(VLOOKUP($A451,Data!$A$2:$C$612,2,FALSE),0),IF(Kielivalinta="Svenska",_xlfn.IFNA(VLOOKUP($B451,Data!$A$2:$C$612,2,FALSE),0))))</f>
        <v/>
      </c>
      <c r="E451" s="123" t="str">
        <f>IF(Kielivalinta="","",IF(Kielivalinta="Suomi",_xlfn.IFNA(VLOOKUP($A451,Data!$A$2:$C$612,3,FALSE),0),IF(Kielivalinta="Svenska",_xlfn.IFNA(VLOOKUP($B451,Data!$A$2:$C$612,3,FALSE),0))))</f>
        <v/>
      </c>
      <c r="F451" s="131" t="str">
        <f>IF(Kielivalinta="","",IF(Kielivalinta="Suomi","Fyysiset",IF(Kielivalinta="Svenska","Fysiska")))</f>
        <v/>
      </c>
      <c r="G451" s="123" t="str">
        <f>D448</f>
        <v/>
      </c>
      <c r="H451" s="123" t="str">
        <f>E448</f>
        <v/>
      </c>
      <c r="I451" s="119"/>
      <c r="J451" s="119"/>
      <c r="Q451" s="119"/>
      <c r="R451" s="119"/>
      <c r="S451" s="119"/>
      <c r="T451" s="119"/>
      <c r="U451" s="119"/>
      <c r="V451" s="119"/>
      <c r="W451" s="119"/>
    </row>
    <row r="452" spans="1:23" x14ac:dyDescent="0.2">
      <c r="A452" s="122" t="s">
        <v>462</v>
      </c>
      <c r="B452" s="122" t="s">
        <v>1177</v>
      </c>
      <c r="C452" s="115"/>
      <c r="D452" s="123" t="str">
        <f>IF(Kielivalinta="","",IF(Kielivalinta="Suomi",_xlfn.IFNA(VLOOKUP($A452,Data!$A$2:$C$612,2,FALSE),0),IF(Kielivalinta="Svenska",_xlfn.IFNA(VLOOKUP($B452,Data!$A$2:$C$612,2,FALSE),0))))</f>
        <v/>
      </c>
      <c r="E452" s="123" t="str">
        <f>IF(Kielivalinta="","",IF(Kielivalinta="Suomi",_xlfn.IFNA(VLOOKUP($A452,Data!$A$2:$C$612,3,FALSE),0),IF(Kielivalinta="Svenska",_xlfn.IFNA(VLOOKUP($B452,Data!$A$2:$C$612,3,FALSE),0))))</f>
        <v/>
      </c>
      <c r="F452" s="131" t="str">
        <f>IF(Kielivalinta="","",IF(Kielivalinta="Suomi","Virtuaaliset",IF(Kielivalinta="Svenska","Virtuella")))</f>
        <v/>
      </c>
      <c r="G452" s="123" t="str">
        <f>D443</f>
        <v/>
      </c>
      <c r="H452" s="123" t="str">
        <f>E443</f>
        <v/>
      </c>
      <c r="I452" s="119"/>
      <c r="J452" s="119"/>
      <c r="Q452" s="122"/>
      <c r="R452" s="119"/>
      <c r="S452" s="119"/>
      <c r="T452" s="119"/>
      <c r="U452" s="119"/>
      <c r="V452" s="119"/>
      <c r="W452" s="119"/>
    </row>
    <row r="453" spans="1:23" x14ac:dyDescent="0.2">
      <c r="A453" s="122" t="s">
        <v>463</v>
      </c>
      <c r="B453" s="122" t="s">
        <v>968</v>
      </c>
      <c r="C453" s="115"/>
      <c r="D453" s="123" t="str">
        <f>IF(Kielivalinta="","",IF(Kielivalinta="Suomi",_xlfn.IFNA(VLOOKUP($A453,Data!$A$2:$C$612,2,FALSE),0),IF(Kielivalinta="Svenska",_xlfn.IFNA(VLOOKUP($B453,Data!$A$2:$C$612,2,FALSE),0))))</f>
        <v/>
      </c>
      <c r="E453" s="123" t="str">
        <f>IF(Kielivalinta="","",IF(Kielivalinta="Suomi",_xlfn.IFNA(VLOOKUP($A453,Data!$A$2:$C$612,3,FALSE),0),IF(Kielivalinta="Svenska",_xlfn.IFNA(VLOOKUP($B453,Data!$A$2:$C$612,3,FALSE),0))))</f>
        <v/>
      </c>
      <c r="F453" s="134" t="str">
        <f>IF(Kielivalinta="","",IF(Kielivalinta="Suomi","YHteensä",IF(Kielivalinta="Svenska","Tillsammans")))</f>
        <v/>
      </c>
      <c r="G453" s="123">
        <f>SUM(G451:G452)</f>
        <v>0</v>
      </c>
      <c r="H453" s="123">
        <f>SUM(H451:H452)</f>
        <v>0</v>
      </c>
      <c r="I453" s="119"/>
      <c r="J453" s="119"/>
      <c r="Q453" s="122"/>
      <c r="R453" s="119"/>
      <c r="S453" s="119"/>
      <c r="T453" s="119"/>
      <c r="U453" s="119"/>
      <c r="V453" s="119"/>
      <c r="W453" s="119"/>
    </row>
    <row r="454" spans="1:23" x14ac:dyDescent="0.2">
      <c r="A454" s="119" t="s">
        <v>464</v>
      </c>
      <c r="B454" s="119" t="s">
        <v>969</v>
      </c>
      <c r="C454" s="122" t="str">
        <f>IF(Kielivalinta="","",IF(Kielivalinta="Suomi","Opetustunnit",IF(Kielivalinta="Svenska","Undervisningstimmar")))</f>
        <v/>
      </c>
      <c r="D454" s="123" t="str">
        <f>IF(Kielivalinta="","",IF(Kielivalinta="Suomi",_xlfn.IFNA(VLOOKUP($A454,Data!$A$2:$C$612,2,FALSE),0),IF(Kielivalinta="Svenska",_xlfn.IFNA(VLOOKUP($B454,Data!$A$2:$C$612,2,FALSE),0))))</f>
        <v/>
      </c>
      <c r="E454" s="123" t="str">
        <f>IF(Kielivalinta="","",IF(Kielivalinta="Suomi",_xlfn.IFNA(VLOOKUP($A454,Data!$A$2:$C$612,3,FALSE),0),IF(Kielivalinta="Svenska",_xlfn.IFNA(VLOOKUP($B454,Data!$A$2:$C$612,3,FALSE),0))))</f>
        <v/>
      </c>
      <c r="F454" s="119"/>
      <c r="G454" s="119"/>
      <c r="H454" s="119"/>
      <c r="I454" s="119"/>
      <c r="J454" s="119"/>
      <c r="Q454" s="119"/>
      <c r="R454" s="119"/>
      <c r="S454" s="119"/>
      <c r="T454" s="119"/>
      <c r="U454" s="119"/>
      <c r="V454" s="119"/>
      <c r="W454" s="119"/>
    </row>
    <row r="455" spans="1:23" x14ac:dyDescent="0.2">
      <c r="A455" s="119" t="s">
        <v>1273</v>
      </c>
      <c r="B455" s="119" t="s">
        <v>970</v>
      </c>
      <c r="C455" s="122" t="str">
        <f>IF(Kielivalinta="","",IF(Kielivalinta="Suomi","Osanottajamäärä",IF(Kielivalinta="Svenska","Antal deltagare")))</f>
        <v/>
      </c>
      <c r="D455" s="123" t="str">
        <f>IF(Kielivalinta="","",IF(Kielivalinta="Suomi",_xlfn.IFNA(VLOOKUP($A455,Data!$A$2:$C$612,2,FALSE),0),IF(Kielivalinta="Svenska",_xlfn.IFNA(VLOOKUP($B455,Data!$A$2:$C$612,2,FALSE),0))))</f>
        <v/>
      </c>
      <c r="E455" s="123" t="str">
        <f>IF(Kielivalinta="","",IF(Kielivalinta="Suomi",_xlfn.IFNA(VLOOKUP($A455,Data!$A$2:$C$612,3,FALSE),0),IF(Kielivalinta="Svenska",_xlfn.IFNA(VLOOKUP($B455,Data!$A$2:$C$612,3,FALSE),0))))</f>
        <v/>
      </c>
      <c r="F455" s="119"/>
      <c r="G455" s="119"/>
      <c r="H455" s="119"/>
      <c r="I455" s="119"/>
      <c r="J455" s="119"/>
      <c r="Q455" s="119"/>
      <c r="R455" s="119"/>
      <c r="S455" s="119"/>
      <c r="T455" s="119"/>
      <c r="U455" s="119"/>
      <c r="V455" s="119"/>
      <c r="W455" s="119"/>
    </row>
    <row r="456" spans="1:23" x14ac:dyDescent="0.2">
      <c r="A456" s="122" t="s">
        <v>465</v>
      </c>
      <c r="B456" s="122" t="s">
        <v>971</v>
      </c>
      <c r="C456" s="122" t="str">
        <f>IF(Kielivalinta="","",IF(Kielivalinta="Suomi","Suoritettujen kurssien opintopistemäärä",IF(Kielivalinta="Svenska","Antal sp för avlagda kurser")))</f>
        <v/>
      </c>
      <c r="D456" s="123" t="str">
        <f>IF(Kielivalinta="","",IF(Kielivalinta="Suomi",_xlfn.IFNA(VLOOKUP($A456,Data!$A$2:$C$612,2,FALSE),0),IF(Kielivalinta="Svenska",_xlfn.IFNA(VLOOKUP($B456,Data!$A$2:$C$612,2,FALSE),0))))</f>
        <v/>
      </c>
      <c r="E456" s="123" t="str">
        <f>IF(Kielivalinta="","",IF(Kielivalinta="Suomi",_xlfn.IFNA(VLOOKUP($A456,Data!$A$2:$C$612,3,FALSE),0),IF(Kielivalinta="Svenska",_xlfn.IFNA(VLOOKUP($B456,Data!$A$2:$C$612,3,FALSE),0))))</f>
        <v/>
      </c>
      <c r="F456" s="119"/>
      <c r="G456" s="119"/>
      <c r="H456" s="119"/>
      <c r="I456" s="119"/>
      <c r="J456" s="119"/>
      <c r="Q456" s="122"/>
      <c r="R456" s="119"/>
      <c r="S456" s="119"/>
      <c r="T456" s="119"/>
      <c r="U456" s="119"/>
      <c r="V456" s="119"/>
      <c r="W456" s="119"/>
    </row>
    <row r="457" spans="1:23" x14ac:dyDescent="0.2">
      <c r="A457" s="122" t="s">
        <v>466</v>
      </c>
      <c r="B457" s="122" t="s">
        <v>972</v>
      </c>
      <c r="C457" s="122" t="str">
        <f>IF(Kielivalinta="","",IF(Kielivalinta="Suomi","Suoritettujen verkkokurssien opintopistemäärä",IF(Kielivalinta="Svenska","Antal sp för erbjudna nätkurser")))</f>
        <v/>
      </c>
      <c r="D457" s="123" t="str">
        <f>IF(Kielivalinta="","",IF(Kielivalinta="Suomi",_xlfn.IFNA(VLOOKUP($A457,Data!$A$2:$C$612,2,FALSE),0),IF(Kielivalinta="Svenska",_xlfn.IFNA(VLOOKUP($B457,Data!$A$2:$C$612,2,FALSE),0))))</f>
        <v/>
      </c>
      <c r="E457" s="123" t="str">
        <f>IF(Kielivalinta="","",IF(Kielivalinta="Suomi",_xlfn.IFNA(VLOOKUP($A457,Data!$A$2:$C$612,3,FALSE),0),IF(Kielivalinta="Svenska",_xlfn.IFNA(VLOOKUP($B457,Data!$A$2:$C$612,3,FALSE),0))))</f>
        <v/>
      </c>
      <c r="F457" s="122"/>
      <c r="G457" s="119"/>
      <c r="H457" s="119"/>
      <c r="I457" s="119"/>
      <c r="J457" s="119"/>
      <c r="Q457" s="122"/>
      <c r="R457" s="119"/>
      <c r="S457" s="119"/>
      <c r="T457" s="119"/>
      <c r="U457" s="119"/>
      <c r="V457" s="119"/>
      <c r="W457" s="119"/>
    </row>
    <row r="458" spans="1:23" x14ac:dyDescent="0.2">
      <c r="A458" s="122" t="s">
        <v>467</v>
      </c>
      <c r="B458" s="122" t="s">
        <v>1178</v>
      </c>
      <c r="C458" s="122" t="str">
        <f>IF(Kielivalinta="","",IF(Kielivalinta="Suomi","Verkkokurssin suorittaneiden määrä",IF(Kielivalinta="Svenska","Antal som avlagt nätkurser")))</f>
        <v/>
      </c>
      <c r="D458" s="123" t="str">
        <f>IF(Kielivalinta="","",IF(Kielivalinta="Suomi",_xlfn.IFNA(VLOOKUP($A458,Data!$A$2:$C$612,2,FALSE),0),IF(Kielivalinta="Svenska",_xlfn.IFNA(VLOOKUP($B458,Data!$A$2:$C$612,2,FALSE),0))))</f>
        <v/>
      </c>
      <c r="E458" s="123" t="str">
        <f>IF(Kielivalinta="","",IF(Kielivalinta="Suomi",_xlfn.IFNA(VLOOKUP($A458,Data!$A$2:$C$612,3,FALSE),0),IF(Kielivalinta="Svenska",_xlfn.IFNA(VLOOKUP($B458,Data!$A$2:$C$612,3,FALSE),0))))</f>
        <v/>
      </c>
      <c r="F458" s="115"/>
      <c r="G458" s="119"/>
      <c r="H458" s="119"/>
      <c r="I458" s="119"/>
      <c r="J458" s="119"/>
      <c r="Q458" s="122"/>
      <c r="R458" s="119"/>
      <c r="S458" s="119"/>
      <c r="T458" s="119"/>
      <c r="U458" s="119"/>
      <c r="V458" s="119"/>
      <c r="W458" s="119"/>
    </row>
    <row r="459" spans="1:23" x14ac:dyDescent="0.2">
      <c r="A459" s="122" t="s">
        <v>468</v>
      </c>
      <c r="B459" s="122" t="s">
        <v>1179</v>
      </c>
      <c r="C459" s="115"/>
      <c r="D459" s="123" t="str">
        <f>IF(Kielivalinta="","",IF(Kielivalinta="Suomi",_xlfn.IFNA(VLOOKUP($A459,Data!$A$2:$C$612,2,FALSE),0),IF(Kielivalinta="Svenska",_xlfn.IFNA(VLOOKUP($B459,Data!$A$2:$C$612,2,FALSE),0))))</f>
        <v/>
      </c>
      <c r="E459" s="123" t="str">
        <f>IF(Kielivalinta="","",IF(Kielivalinta="Suomi",_xlfn.IFNA(VLOOKUP($A459,Data!$A$2:$C$612,3,FALSE),0),IF(Kielivalinta="Svenska",_xlfn.IFNA(VLOOKUP($B459,Data!$A$2:$C$612,3,FALSE),0))))</f>
        <v/>
      </c>
      <c r="F459" s="119"/>
      <c r="G459" s="137" t="str">
        <f>IF(Kielivalinta="","",IF(Kielivalinta="Suomi","Aukiolotunnit",IF(Kielivalinta="Svenska","Öppethållningstimmar")))</f>
        <v/>
      </c>
      <c r="H459" s="119"/>
      <c r="I459" s="119"/>
      <c r="J459" s="119"/>
      <c r="Q459" s="122"/>
      <c r="R459" s="119"/>
      <c r="S459" s="119"/>
      <c r="T459" s="119"/>
      <c r="U459" s="119"/>
      <c r="V459" s="119"/>
      <c r="W459" s="119"/>
    </row>
    <row r="460" spans="1:23" x14ac:dyDescent="0.2">
      <c r="A460" s="122" t="s">
        <v>469</v>
      </c>
      <c r="B460" s="122" t="s">
        <v>1180</v>
      </c>
      <c r="C460" s="115"/>
      <c r="D460" s="123" t="str">
        <f>IF(Kielivalinta="","",IF(Kielivalinta="Suomi",_xlfn.IFNA(VLOOKUP($A460,Data!$A$2:$C$612,2,FALSE),0),IF(Kielivalinta="Svenska",_xlfn.IFNA(VLOOKUP($B460,Data!$A$2:$C$612,2,FALSE),0))))</f>
        <v/>
      </c>
      <c r="E460" s="123" t="str">
        <f>IF(Kielivalinta="","",IF(Kielivalinta="Suomi",_xlfn.IFNA(VLOOKUP($A460,Data!$A$2:$C$612,3,FALSE),0),IF(Kielivalinta="Svenska",_xlfn.IFNA(VLOOKUP($B460,Data!$A$2:$C$612,3,FALSE),0))))</f>
        <v/>
      </c>
      <c r="F460" s="119"/>
      <c r="G460" s="139" t="str">
        <f>RIGHT(Data!$B$3,4)</f>
        <v/>
      </c>
      <c r="H460" s="139" t="str">
        <f>RIGHT(Data!$C$3,4)</f>
        <v/>
      </c>
      <c r="I460" s="119"/>
      <c r="J460" s="119"/>
      <c r="Q460" s="122"/>
      <c r="R460" s="119"/>
      <c r="S460" s="119"/>
      <c r="T460" s="119"/>
      <c r="U460" s="119"/>
      <c r="V460" s="119"/>
      <c r="W460" s="119"/>
    </row>
    <row r="461" spans="1:23" x14ac:dyDescent="0.2">
      <c r="A461" s="119" t="s">
        <v>470</v>
      </c>
      <c r="B461" s="119" t="s">
        <v>1181</v>
      </c>
      <c r="C461" s="115"/>
      <c r="D461" s="123" t="str">
        <f>IF(Kielivalinta="","",IF(Kielivalinta="Suomi",_xlfn.IFNA(VLOOKUP($A461,Data!$A$2:$C$612,2,FALSE),0),IF(Kielivalinta="Svenska",_xlfn.IFNA(VLOOKUP($B461,Data!$A$2:$C$612,2,FALSE),0))))</f>
        <v/>
      </c>
      <c r="E461" s="123" t="str">
        <f>IF(Kielivalinta="","",IF(Kielivalinta="Suomi",_xlfn.IFNA(VLOOKUP($A461,Data!$A$2:$C$612,3,FALSE),0),IF(Kielivalinta="Svenska",_xlfn.IFNA(VLOOKUP($B461,Data!$A$2:$C$612,3,FALSE),0))))</f>
        <v/>
      </c>
      <c r="F461" s="131" t="str">
        <f>IF(Kielivalinta="","",IF(Kielivalinta="Suomi","Pääkirjasto",IF(Kielivalinta="Svenska","Huvudbibliotek")))</f>
        <v/>
      </c>
      <c r="G461" s="128" t="str">
        <f>D459</f>
        <v/>
      </c>
      <c r="H461" s="128" t="str">
        <f>E459</f>
        <v/>
      </c>
      <c r="I461" s="119"/>
      <c r="J461" s="119"/>
      <c r="Q461" s="119"/>
      <c r="R461" s="119"/>
      <c r="S461" s="119"/>
      <c r="T461" s="119"/>
      <c r="U461" s="119"/>
      <c r="V461" s="119"/>
      <c r="W461" s="119"/>
    </row>
    <row r="462" spans="1:23" x14ac:dyDescent="0.2">
      <c r="A462" s="119" t="s">
        <v>471</v>
      </c>
      <c r="B462" s="119" t="s">
        <v>973</v>
      </c>
      <c r="C462" s="115"/>
      <c r="D462" s="123" t="str">
        <f>IF(Kielivalinta="","",IF(Kielivalinta="Suomi",_xlfn.IFNA(VLOOKUP($A462,Data!$A$2:$C$612,2,FALSE),0),IF(Kielivalinta="Svenska",_xlfn.IFNA(VLOOKUP($B462,Data!$A$2:$C$612,2,FALSE),0))))</f>
        <v/>
      </c>
      <c r="E462" s="123" t="str">
        <f>IF(Kielivalinta="","",IF(Kielivalinta="Suomi",_xlfn.IFNA(VLOOKUP($A462,Data!$A$2:$C$612,3,FALSE),0),IF(Kielivalinta="Svenska",_xlfn.IFNA(VLOOKUP($B462,Data!$A$2:$C$612,3,FALSE),0))))</f>
        <v/>
      </c>
      <c r="F462" s="131" t="str">
        <f>IF(Kielivalinta="","",IF(Kielivalinta="Suomi","Muut toimipisteet",IF(Kielivalinta="Svenska","Servicepunkter")))</f>
        <v/>
      </c>
      <c r="G462" s="128" t="str">
        <f>D462</f>
        <v/>
      </c>
      <c r="H462" s="128" t="str">
        <f>E462</f>
        <v/>
      </c>
      <c r="I462" s="119"/>
      <c r="J462" s="119"/>
      <c r="Q462" s="119"/>
      <c r="R462" s="119"/>
      <c r="S462" s="119"/>
      <c r="T462" s="119"/>
      <c r="U462" s="119"/>
      <c r="V462" s="119"/>
      <c r="W462" s="119"/>
    </row>
    <row r="463" spans="1:23" x14ac:dyDescent="0.2">
      <c r="A463" s="119" t="s">
        <v>1283</v>
      </c>
      <c r="B463" s="119" t="s">
        <v>1269</v>
      </c>
      <c r="C463" s="115"/>
      <c r="D463" s="123" t="str">
        <f>IF(Kielivalinta="","",IF(Kielivalinta="Suomi",_xlfn.IFNA(VLOOKUP($A463,Data!$A$2:$C$612,2,FALSE),0),IF(Kielivalinta="Svenska",_xlfn.IFNA(VLOOKUP($B463,Data!$A$2:$C$612,2,FALSE),0))))</f>
        <v/>
      </c>
      <c r="E463" s="123" t="str">
        <f>IF(Kielivalinta="","",IF(Kielivalinta="Suomi",_xlfn.IFNA(VLOOKUP($A463,Data!$A$2:$C$612,3,FALSE),0),IF(Kielivalinta="Svenska",_xlfn.IFNA(VLOOKUP($B463,Data!$A$2:$C$612,3,FALSE),0))))</f>
        <v/>
      </c>
      <c r="F463" s="134" t="str">
        <f>IF(Kielivalinta="","",IF(Kielivalinta="Suomi","YHteensä",IF(Kielivalinta="Svenska","Tillsammans")))</f>
        <v/>
      </c>
      <c r="G463" s="129">
        <f>SUM(G461:G462)</f>
        <v>0</v>
      </c>
      <c r="H463" s="129">
        <f>SUM(H461:H462)</f>
        <v>0</v>
      </c>
      <c r="I463" s="119"/>
      <c r="J463" s="119"/>
      <c r="Q463" s="119"/>
      <c r="R463" s="119"/>
      <c r="S463" s="119"/>
      <c r="T463" s="119"/>
      <c r="U463" s="119"/>
      <c r="V463" s="119"/>
      <c r="W463" s="119"/>
    </row>
    <row r="464" spans="1:23" x14ac:dyDescent="0.2">
      <c r="A464" s="119" t="s">
        <v>1284</v>
      </c>
      <c r="B464" s="119" t="s">
        <v>1291</v>
      </c>
      <c r="C464" s="115"/>
      <c r="D464" s="123" t="str">
        <f>IF(Kielivalinta="","",IF(Kielivalinta="Suomi",_xlfn.IFNA(VLOOKUP($A464,Data!$A$2:$C$612,2,FALSE),0),IF(Kielivalinta="Svenska",_xlfn.IFNA(VLOOKUP($B464,Data!$A$2:$C$612,2,FALSE),0))))</f>
        <v/>
      </c>
      <c r="E464" s="123" t="str">
        <f>IF(Kielivalinta="","",IF(Kielivalinta="Suomi",_xlfn.IFNA(VLOOKUP($A464,Data!$A$2:$C$612,3,FALSE),0),IF(Kielivalinta="Svenska",_xlfn.IFNA(VLOOKUP($B464,Data!$A$2:$C$612,3,FALSE),0))))</f>
        <v/>
      </c>
      <c r="F464" s="119"/>
      <c r="G464" s="137" t="str">
        <f>IF(Kielivalinta="","",IF(Kielivalinta="Suomi","Aukiolotunnit",IF(Kielivalinta="Svenska","Öppethållningstimmar")))</f>
        <v/>
      </c>
      <c r="H464" s="119"/>
      <c r="I464" s="119"/>
      <c r="J464" s="119"/>
      <c r="Q464" s="119"/>
      <c r="R464" s="119"/>
      <c r="S464" s="119"/>
      <c r="T464" s="119"/>
      <c r="U464" s="119"/>
      <c r="V464" s="119"/>
      <c r="W464" s="119"/>
    </row>
    <row r="465" spans="1:23" x14ac:dyDescent="0.2">
      <c r="A465" s="122" t="s">
        <v>472</v>
      </c>
      <c r="B465" s="122" t="s">
        <v>974</v>
      </c>
      <c r="C465" s="115"/>
      <c r="D465" s="123" t="str">
        <f>IF(Kielivalinta="","",IF(Kielivalinta="Suomi",_xlfn.IFNA(VLOOKUP($A465,Data!$A$2:$C$612,2,FALSE),0),IF(Kielivalinta="Svenska",_xlfn.IFNA(VLOOKUP($B465,Data!$A$2:$C$612,2,FALSE),0))))</f>
        <v/>
      </c>
      <c r="E465" s="123" t="str">
        <f>IF(Kielivalinta="","",IF(Kielivalinta="Suomi",_xlfn.IFNA(VLOOKUP($A465,Data!$A$2:$C$612,3,FALSE),0),IF(Kielivalinta="Svenska",_xlfn.IFNA(VLOOKUP($B465,Data!$A$2:$C$612,3,FALSE),0))))</f>
        <v/>
      </c>
      <c r="F465" s="119"/>
      <c r="G465" s="139" t="str">
        <f>RIGHT(Data!$B$3,4)</f>
        <v/>
      </c>
      <c r="H465" s="139" t="str">
        <f>RIGHT(Data!$C$3,4)</f>
        <v/>
      </c>
      <c r="I465" s="119"/>
      <c r="J465" s="119"/>
      <c r="Q465" s="122"/>
      <c r="R465" s="119"/>
      <c r="S465" s="119"/>
      <c r="T465" s="119"/>
      <c r="U465" s="119"/>
      <c r="V465" s="119"/>
      <c r="W465" s="119"/>
    </row>
    <row r="466" spans="1:23" x14ac:dyDescent="0.2">
      <c r="A466" s="122" t="s">
        <v>473</v>
      </c>
      <c r="B466" s="122" t="s">
        <v>1182</v>
      </c>
      <c r="C466" s="115"/>
      <c r="D466" s="123" t="str">
        <f>IF(Kielivalinta="","",IF(Kielivalinta="Suomi",_xlfn.IFNA(VLOOKUP($A466,Data!$A$2:$C$612,2,FALSE),0),IF(Kielivalinta="Svenska",_xlfn.IFNA(VLOOKUP($B466,Data!$A$2:$C$612,2,FALSE),0))))</f>
        <v/>
      </c>
      <c r="E466" s="123" t="str">
        <f>IF(Kielivalinta="","",IF(Kielivalinta="Suomi",_xlfn.IFNA(VLOOKUP($A466,Data!$A$2:$C$612,3,FALSE),0),IF(Kielivalinta="Svenska",_xlfn.IFNA(VLOOKUP($B466,Data!$A$2:$C$612,3,FALSE),0))))</f>
        <v/>
      </c>
      <c r="F466" s="131" t="str">
        <f>IF(Kielivalinta="","",IF(Kielivalinta="Suomi","Pääk, palvelu",IF(Kielivalinta="Svenska","Huvudbib, betjäning")))</f>
        <v/>
      </c>
      <c r="G466" s="128" t="str">
        <f>D460</f>
        <v/>
      </c>
      <c r="H466" s="128" t="str">
        <f>E460</f>
        <v/>
      </c>
      <c r="I466" s="119"/>
      <c r="J466" s="119"/>
      <c r="Q466" s="122"/>
      <c r="R466" s="119"/>
      <c r="S466" s="119"/>
      <c r="T466" s="119"/>
      <c r="U466" s="119"/>
      <c r="V466" s="119"/>
      <c r="W466" s="119"/>
    </row>
    <row r="467" spans="1:23" x14ac:dyDescent="0.2">
      <c r="A467" s="122" t="s">
        <v>474</v>
      </c>
      <c r="B467" s="122" t="s">
        <v>1183</v>
      </c>
      <c r="C467" s="115"/>
      <c r="D467" s="123" t="str">
        <f>IF(Kielivalinta="","",IF(Kielivalinta="Suomi",_xlfn.IFNA(VLOOKUP($A467,Data!$A$2:$C$612,2,FALSE),0),IF(Kielivalinta="Svenska",_xlfn.IFNA(VLOOKUP($B467,Data!$A$2:$C$612,2,FALSE),0))))</f>
        <v/>
      </c>
      <c r="E467" s="123" t="str">
        <f>IF(Kielivalinta="","",IF(Kielivalinta="Suomi",_xlfn.IFNA(VLOOKUP($A467,Data!$A$2:$C$612,3,FALSE),0),IF(Kielivalinta="Svenska",_xlfn.IFNA(VLOOKUP($B467,Data!$A$2:$C$612,3,FALSE),0))))</f>
        <v/>
      </c>
      <c r="F467" s="131" t="str">
        <f>IF(Kielivalinta="","",IF(Kielivalinta="Suomi","Pääk, itsepalvelu",IF(Kielivalinta="Svenska","Huvudbib, självbetjäning")))</f>
        <v/>
      </c>
      <c r="G467" s="128" t="str">
        <f>D461</f>
        <v/>
      </c>
      <c r="H467" s="128" t="str">
        <f>E461</f>
        <v/>
      </c>
      <c r="I467" s="119"/>
      <c r="J467" s="119"/>
      <c r="Q467" s="122"/>
      <c r="R467" s="119"/>
      <c r="S467" s="119"/>
      <c r="T467" s="119"/>
      <c r="U467" s="119"/>
      <c r="V467" s="119"/>
      <c r="W467" s="119"/>
    </row>
    <row r="468" spans="1:23" x14ac:dyDescent="0.2">
      <c r="A468" s="122" t="s">
        <v>475</v>
      </c>
      <c r="B468" s="122" t="s">
        <v>975</v>
      </c>
      <c r="C468" s="115"/>
      <c r="D468" s="123" t="str">
        <f>IF(Kielivalinta="","",IF(Kielivalinta="Suomi",_xlfn.IFNA(VLOOKUP($A468,Data!$A$2:$C$612,2,FALSE),0),IF(Kielivalinta="Svenska",_xlfn.IFNA(VLOOKUP($B468,Data!$A$2:$C$612,2,FALSE),0))))</f>
        <v/>
      </c>
      <c r="E468" s="123" t="str">
        <f>IF(Kielivalinta="","",IF(Kielivalinta="Suomi",_xlfn.IFNA(VLOOKUP($A468,Data!$A$2:$C$612,3,FALSE),0),IF(Kielivalinta="Svenska",_xlfn.IFNA(VLOOKUP($B468,Data!$A$2:$C$612,3,FALSE),0))))</f>
        <v/>
      </c>
      <c r="F468" s="131" t="str">
        <f>IF(Kielivalinta="","",IF(Kielivalinta="Suomi","Muut toimip, palvelu",IF(Kielivalinta="Svenska","Servicepunkter, betjäning")))</f>
        <v/>
      </c>
      <c r="G468" s="128" t="str">
        <f>D463</f>
        <v/>
      </c>
      <c r="H468" s="128" t="str">
        <f>E463</f>
        <v/>
      </c>
      <c r="I468" s="119"/>
      <c r="J468" s="119"/>
      <c r="Q468" s="122"/>
      <c r="R468" s="119"/>
      <c r="S468" s="119"/>
      <c r="T468" s="119"/>
      <c r="U468" s="119"/>
      <c r="V468" s="119"/>
      <c r="W468" s="119"/>
    </row>
    <row r="469" spans="1:23" x14ac:dyDescent="0.2">
      <c r="A469" s="119" t="s">
        <v>476</v>
      </c>
      <c r="B469" s="119" t="s">
        <v>976</v>
      </c>
      <c r="C469" s="115"/>
      <c r="D469" s="123" t="str">
        <f>IF(Kielivalinta="","",IF(Kielivalinta="Suomi",_xlfn.IFNA(VLOOKUP($A469,Data!$A$2:$C$612,2,FALSE),0),IF(Kielivalinta="Svenska",_xlfn.IFNA(VLOOKUP($B469,Data!$A$2:$C$612,2,FALSE),0))))</f>
        <v/>
      </c>
      <c r="E469" s="123" t="str">
        <f>IF(Kielivalinta="","",IF(Kielivalinta="Suomi",_xlfn.IFNA(VLOOKUP($A469,Data!$A$2:$C$612,3,FALSE),0),IF(Kielivalinta="Svenska",_xlfn.IFNA(VLOOKUP($B469,Data!$A$2:$C$612,3,FALSE),0))))</f>
        <v/>
      </c>
      <c r="F469" s="131" t="str">
        <f>IF(Kielivalinta="","",IF(Kielivalinta="Suomi","Muut toimip, itsepalvelu",IF(Kielivalinta="Svenska","Servicepunkter, självbetjäning")))</f>
        <v/>
      </c>
      <c r="G469" s="128" t="str">
        <f>D464</f>
        <v/>
      </c>
      <c r="H469" s="128" t="str">
        <f>E464</f>
        <v/>
      </c>
      <c r="I469" s="119"/>
      <c r="J469" s="119"/>
      <c r="Q469" s="119"/>
      <c r="R469" s="119"/>
      <c r="S469" s="119"/>
      <c r="T469" s="119"/>
      <c r="U469" s="119"/>
      <c r="V469" s="119"/>
      <c r="W469" s="119"/>
    </row>
    <row r="470" spans="1:23" x14ac:dyDescent="0.2">
      <c r="A470" s="119" t="s">
        <v>477</v>
      </c>
      <c r="B470" s="119" t="s">
        <v>1184</v>
      </c>
      <c r="C470" s="115"/>
      <c r="D470" s="123" t="str">
        <f>IF(Kielivalinta="","",IF(Kielivalinta="Suomi",_xlfn.IFNA(VLOOKUP($A470,Data!$A$2:$C$612,2,FALSE),0),IF(Kielivalinta="Svenska",_xlfn.IFNA(VLOOKUP($B470,Data!$A$2:$C$612,2,FALSE),0))))</f>
        <v/>
      </c>
      <c r="E470" s="123" t="str">
        <f>IF(Kielivalinta="","",IF(Kielivalinta="Suomi",_xlfn.IFNA(VLOOKUP($A470,Data!$A$2:$C$612,3,FALSE),0),IF(Kielivalinta="Svenska",_xlfn.IFNA(VLOOKUP($B470,Data!$A$2:$C$612,3,FALSE),0))))</f>
        <v/>
      </c>
      <c r="F470" s="134" t="str">
        <f>IF(Kielivalinta="","",IF(Kielivalinta="Suomi","YHteensä",IF(Kielivalinta="Svenska","Tillsammans")))</f>
        <v/>
      </c>
      <c r="G470" s="129">
        <f>SUM(G466:G469)</f>
        <v>0</v>
      </c>
      <c r="H470" s="129">
        <f>SUM(H466:H469)</f>
        <v>0</v>
      </c>
      <c r="I470" s="119"/>
      <c r="J470" s="119"/>
      <c r="Q470" s="119"/>
      <c r="R470" s="119"/>
      <c r="S470" s="119"/>
      <c r="T470" s="119"/>
      <c r="U470" s="119"/>
      <c r="V470" s="119"/>
      <c r="W470" s="119"/>
    </row>
    <row r="471" spans="1:23" x14ac:dyDescent="0.2">
      <c r="A471" s="122" t="s">
        <v>478</v>
      </c>
      <c r="B471" s="122" t="s">
        <v>1185</v>
      </c>
      <c r="C471" s="115"/>
      <c r="D471" s="123" t="str">
        <f>IF(Kielivalinta="","",IF(Kielivalinta="Suomi",_xlfn.IFNA(VLOOKUP($A471,Data!$A$2:$C$612,2,FALSE),0),IF(Kielivalinta="Svenska",_xlfn.IFNA(VLOOKUP($B471,Data!$A$2:$C$612,2,FALSE),0))))</f>
        <v/>
      </c>
      <c r="E471" s="123" t="str">
        <f>IF(Kielivalinta="","",IF(Kielivalinta="Suomi",_xlfn.IFNA(VLOOKUP($A471,Data!$A$2:$C$612,3,FALSE),0),IF(Kielivalinta="Svenska",_xlfn.IFNA(VLOOKUP($B471,Data!$A$2:$C$612,3,FALSE),0))))</f>
        <v/>
      </c>
      <c r="F471" s="119"/>
      <c r="G471" s="137" t="str">
        <f>IF(Kielivalinta="","",IF(Kielivalinta="Suomi","Aukiolopäivät",IF(Kielivalinta="Svenska","Öppethållningsdagar")))</f>
        <v/>
      </c>
      <c r="H471" s="119"/>
      <c r="I471" s="119"/>
      <c r="J471" s="119"/>
      <c r="Q471" s="122"/>
      <c r="R471" s="119"/>
      <c r="S471" s="119"/>
      <c r="T471" s="119"/>
      <c r="U471" s="119"/>
      <c r="V471" s="119"/>
      <c r="W471" s="119"/>
    </row>
    <row r="472" spans="1:23" x14ac:dyDescent="0.2">
      <c r="A472" s="122" t="s">
        <v>479</v>
      </c>
      <c r="B472" s="122" t="s">
        <v>1186</v>
      </c>
      <c r="C472" s="115"/>
      <c r="D472" s="123" t="str">
        <f>IF(Kielivalinta="","",IF(Kielivalinta="Suomi",_xlfn.IFNA(VLOOKUP($A472,Data!$A$2:$C$612,2,FALSE),0),IF(Kielivalinta="Svenska",_xlfn.IFNA(VLOOKUP($B472,Data!$A$2:$C$612,2,FALSE),0))))</f>
        <v/>
      </c>
      <c r="E472" s="123" t="str">
        <f>IF(Kielivalinta="","",IF(Kielivalinta="Suomi",_xlfn.IFNA(VLOOKUP($A472,Data!$A$2:$C$612,3,FALSE),0),IF(Kielivalinta="Svenska",_xlfn.IFNA(VLOOKUP($B472,Data!$A$2:$C$612,3,FALSE),0))))</f>
        <v/>
      </c>
      <c r="F472" s="119"/>
      <c r="G472" s="139" t="str">
        <f>RIGHT(Data!$B$3,4)</f>
        <v/>
      </c>
      <c r="H472" s="139" t="str">
        <f>RIGHT(Data!$C$3,4)</f>
        <v/>
      </c>
      <c r="I472" s="119"/>
      <c r="J472" s="119"/>
      <c r="M472" s="114" t="s">
        <v>1292</v>
      </c>
      <c r="N472" s="114" t="s">
        <v>1292</v>
      </c>
      <c r="Q472" s="122"/>
      <c r="R472" s="119"/>
      <c r="S472" s="119"/>
      <c r="T472" s="119"/>
      <c r="U472" s="119"/>
      <c r="V472" s="119"/>
      <c r="W472" s="119"/>
    </row>
    <row r="473" spans="1:23" x14ac:dyDescent="0.2">
      <c r="A473" s="119" t="s">
        <v>480</v>
      </c>
      <c r="B473" s="119" t="s">
        <v>977</v>
      </c>
      <c r="C473" s="115"/>
      <c r="D473" s="123" t="str">
        <f>IF(Kielivalinta="","",IF(Kielivalinta="Suomi",_xlfn.IFNA(VLOOKUP($A473,Data!$A$2:$C$612,2,FALSE),0),IF(Kielivalinta="Svenska",_xlfn.IFNA(VLOOKUP($B473,Data!$A$2:$C$612,2,FALSE),0))))</f>
        <v/>
      </c>
      <c r="E473" s="123" t="str">
        <f>IF(Kielivalinta="","",IF(Kielivalinta="Suomi",_xlfn.IFNA(VLOOKUP($A473,Data!$A$2:$C$612,3,FALSE),0),IF(Kielivalinta="Svenska",_xlfn.IFNA(VLOOKUP($B473,Data!$A$2:$C$612,3,FALSE),0))))</f>
        <v/>
      </c>
      <c r="F473" s="131" t="str">
        <f>IF(Kielivalinta="","",IF(Kielivalinta="Suomi","Pääkirjasto",IF(Kielivalinta="Svenska","Huvudbibliotek")))</f>
        <v/>
      </c>
      <c r="G473" s="123" t="str">
        <f>D467</f>
        <v/>
      </c>
      <c r="H473" s="123" t="str">
        <f>E467</f>
        <v/>
      </c>
      <c r="I473" s="119"/>
      <c r="J473" s="119" t="s">
        <v>1270</v>
      </c>
      <c r="K473" s="140" t="str">
        <f>D458</f>
        <v/>
      </c>
      <c r="L473" s="140" t="str">
        <f>E458</f>
        <v/>
      </c>
      <c r="M473" s="114" t="str">
        <f>IFERROR(K473*52,"")</f>
        <v/>
      </c>
      <c r="N473" s="114" t="str">
        <f>IFERROR(L473*52,"")</f>
        <v/>
      </c>
      <c r="Q473" s="119"/>
      <c r="R473" s="119"/>
      <c r="S473" s="119"/>
      <c r="T473" s="119"/>
      <c r="U473" s="119"/>
      <c r="V473" s="119"/>
      <c r="W473" s="119"/>
    </row>
    <row r="474" spans="1:23" x14ac:dyDescent="0.2">
      <c r="A474" s="119" t="s">
        <v>481</v>
      </c>
      <c r="B474" s="119" t="s">
        <v>1187</v>
      </c>
      <c r="C474" s="115"/>
      <c r="D474" s="123" t="str">
        <f>IF(Kielivalinta="","",IF(Kielivalinta="Suomi",_xlfn.IFNA(VLOOKUP($A474,Data!$A$2:$C$612,2,FALSE),0),IF(Kielivalinta="Svenska",_xlfn.IFNA(VLOOKUP($B474,Data!$A$2:$C$612,2,FALSE),0))))</f>
        <v/>
      </c>
      <c r="E474" s="123" t="str">
        <f>IF(Kielivalinta="","",IF(Kielivalinta="Suomi",_xlfn.IFNA(VLOOKUP($A474,Data!$A$2:$C$612,3,FALSE),0),IF(Kielivalinta="Svenska",_xlfn.IFNA(VLOOKUP($B474,Data!$A$2:$C$612,3,FALSE),0))))</f>
        <v/>
      </c>
      <c r="F474" s="131" t="str">
        <f>IF(Kielivalinta="","",IF(Kielivalinta="Suomi","Muut toimipisteet",IF(Kielivalinta="Svenska","Servicepunkter")))</f>
        <v/>
      </c>
      <c r="G474" s="123" t="str">
        <f>D468</f>
        <v/>
      </c>
      <c r="H474" s="123" t="str">
        <f>E468</f>
        <v/>
      </c>
      <c r="I474" s="119"/>
      <c r="J474" s="119" t="s">
        <v>1271</v>
      </c>
      <c r="K474" s="140" t="str">
        <f>D466</f>
        <v/>
      </c>
      <c r="L474" s="140" t="str">
        <f>E466</f>
        <v/>
      </c>
      <c r="M474" s="140" t="str">
        <f>K474</f>
        <v/>
      </c>
      <c r="N474" s="140" t="str">
        <f>L474</f>
        <v/>
      </c>
      <c r="Q474" s="119"/>
      <c r="R474" s="119"/>
      <c r="S474" s="119"/>
      <c r="T474" s="119"/>
      <c r="U474" s="119"/>
      <c r="V474" s="119"/>
      <c r="W474" s="119"/>
    </row>
    <row r="475" spans="1:23" x14ac:dyDescent="0.2">
      <c r="A475" s="119" t="s">
        <v>482</v>
      </c>
      <c r="B475" s="119" t="s">
        <v>1188</v>
      </c>
      <c r="C475" s="115"/>
      <c r="D475" s="123" t="str">
        <f>IF(Kielivalinta="","",IF(Kielivalinta="Suomi",_xlfn.IFNA(VLOOKUP($A475,Data!$A$2:$C$612,2,FALSE),0),IF(Kielivalinta="Svenska",_xlfn.IFNA(VLOOKUP($B475,Data!$A$2:$C$612,2,FALSE),0))))</f>
        <v/>
      </c>
      <c r="E475" s="123" t="str">
        <f>IF(Kielivalinta="","",IF(Kielivalinta="Suomi",_xlfn.IFNA(VLOOKUP($A475,Data!$A$2:$C$612,3,FALSE),0),IF(Kielivalinta="Svenska",_xlfn.IFNA(VLOOKUP($B475,Data!$A$2:$C$612,3,FALSE),0))))</f>
        <v/>
      </c>
      <c r="F475" s="137" t="str">
        <f>IF(Kielivalinta="","",IF(Kielivalinta="Suomi","Päivät yht",IF(Kielivalinta="Svenska","Dagar tillsammans")))</f>
        <v/>
      </c>
      <c r="G475" s="135">
        <f>SUM(G473:G474)</f>
        <v>0</v>
      </c>
      <c r="H475" s="135">
        <f>SUM(H473:H474)</f>
        <v>0</v>
      </c>
      <c r="I475" s="119"/>
      <c r="J475" s="119"/>
      <c r="M475" s="114" t="str">
        <f>IFERROR(M473/M474,"")</f>
        <v/>
      </c>
      <c r="N475" s="114" t="str">
        <f>IFERROR(N473/N474,"")</f>
        <v/>
      </c>
      <c r="Q475" s="119"/>
      <c r="R475" s="119"/>
      <c r="S475" s="119"/>
      <c r="T475" s="119"/>
      <c r="U475" s="119"/>
      <c r="V475" s="119"/>
      <c r="W475" s="119"/>
    </row>
    <row r="476" spans="1:23" x14ac:dyDescent="0.2">
      <c r="A476" s="122" t="s">
        <v>483</v>
      </c>
      <c r="B476" s="122" t="s">
        <v>1189</v>
      </c>
      <c r="C476" s="115"/>
      <c r="D476" s="123" t="str">
        <f>IF(Kielivalinta="","",IF(Kielivalinta="Suomi",_xlfn.IFNA(VLOOKUP($A476,Data!$A$2:$C$612,2,FALSE),0),IF(Kielivalinta="Svenska",_xlfn.IFNA(VLOOKUP($B476,Data!$A$2:$C$612,2,FALSE),0))))</f>
        <v/>
      </c>
      <c r="E476" s="123" t="str">
        <f>IF(Kielivalinta="","",IF(Kielivalinta="Suomi",_xlfn.IFNA(VLOOKUP($A476,Data!$A$2:$C$612,3,FALSE),0),IF(Kielivalinta="Svenska",_xlfn.IFNA(VLOOKUP($B476,Data!$A$2:$C$612,3,FALSE),0))))</f>
        <v/>
      </c>
      <c r="F476" s="119"/>
      <c r="G476" s="119"/>
      <c r="H476" s="119"/>
      <c r="I476" s="119"/>
      <c r="J476" s="119"/>
      <c r="M476" s="114" t="s">
        <v>1272</v>
      </c>
      <c r="Q476" s="122"/>
      <c r="R476" s="119"/>
      <c r="S476" s="119"/>
      <c r="T476" s="119"/>
      <c r="U476" s="119"/>
      <c r="V476" s="119"/>
      <c r="W476" s="119"/>
    </row>
    <row r="477" spans="1:23" x14ac:dyDescent="0.2">
      <c r="A477" s="119" t="s">
        <v>484</v>
      </c>
      <c r="B477" s="119" t="s">
        <v>1190</v>
      </c>
      <c r="C477" s="115"/>
      <c r="D477" s="123" t="str">
        <f>IF(Kielivalinta="","",IF(Kielivalinta="Suomi",_xlfn.IFNA(VLOOKUP($A477,Data!$A$2:$C$612,2,FALSE),0),IF(Kielivalinta="Svenska",_xlfn.IFNA(VLOOKUP($B477,Data!$A$2:$C$612,2,FALSE),0))))</f>
        <v/>
      </c>
      <c r="E477" s="123" t="str">
        <f>IF(Kielivalinta="","",IF(Kielivalinta="Suomi",_xlfn.IFNA(VLOOKUP($A477,Data!$A$2:$C$612,3,FALSE),0),IF(Kielivalinta="Svenska",_xlfn.IFNA(VLOOKUP($B477,Data!$A$2:$C$612,3,FALSE),0))))</f>
        <v/>
      </c>
      <c r="F477" s="119"/>
      <c r="G477" s="119"/>
      <c r="H477" s="119"/>
      <c r="I477" s="119"/>
      <c r="J477" s="119"/>
      <c r="Q477" s="119"/>
      <c r="R477" s="119"/>
      <c r="S477" s="119"/>
      <c r="T477" s="119"/>
      <c r="U477" s="119"/>
      <c r="V477" s="119"/>
      <c r="W477" s="119"/>
    </row>
    <row r="478" spans="1:23" x14ac:dyDescent="0.2">
      <c r="A478" s="119" t="s">
        <v>485</v>
      </c>
      <c r="B478" s="119" t="s">
        <v>978</v>
      </c>
      <c r="C478" s="115"/>
      <c r="D478" s="123" t="str">
        <f>IF(Kielivalinta="","",IF(Kielivalinta="Suomi",_xlfn.IFNA(VLOOKUP($A478,Data!$A$2:$C$612,2,FALSE),0),IF(Kielivalinta="Svenska",_xlfn.IFNA(VLOOKUP($B478,Data!$A$2:$C$612,2,FALSE),0))))</f>
        <v/>
      </c>
      <c r="E478" s="123" t="str">
        <f>IF(Kielivalinta="","",IF(Kielivalinta="Suomi",_xlfn.IFNA(VLOOKUP($A478,Data!$A$2:$C$612,3,FALSE),0),IF(Kielivalinta="Svenska",_xlfn.IFNA(VLOOKUP($B478,Data!$A$2:$C$612,3,FALSE),0))))</f>
        <v/>
      </c>
      <c r="F478" s="119"/>
      <c r="G478" s="119"/>
      <c r="H478" s="119"/>
      <c r="I478" s="119"/>
      <c r="J478" s="119"/>
      <c r="Q478" s="119"/>
      <c r="R478" s="119"/>
      <c r="S478" s="119"/>
      <c r="T478" s="119"/>
      <c r="U478" s="119"/>
      <c r="V478" s="119"/>
      <c r="W478" s="119"/>
    </row>
    <row r="479" spans="1:23" x14ac:dyDescent="0.2">
      <c r="A479" s="119" t="s">
        <v>486</v>
      </c>
      <c r="B479" s="119" t="s">
        <v>979</v>
      </c>
      <c r="C479" s="115"/>
      <c r="D479" s="123" t="str">
        <f>IF(Kielivalinta="","",IF(Kielivalinta="Suomi",_xlfn.IFNA(VLOOKUP($A479,Data!$A$2:$C$612,2,FALSE),0),IF(Kielivalinta="Svenska",_xlfn.IFNA(VLOOKUP($B479,Data!$A$2:$C$612,2,FALSE),0))))</f>
        <v/>
      </c>
      <c r="E479" s="123" t="str">
        <f>IF(Kielivalinta="","",IF(Kielivalinta="Suomi",_xlfn.IFNA(VLOOKUP($A479,Data!$A$2:$C$612,3,FALSE),0),IF(Kielivalinta="Svenska",_xlfn.IFNA(VLOOKUP($B479,Data!$A$2:$C$612,3,FALSE),0))))</f>
        <v/>
      </c>
      <c r="F479" s="119"/>
      <c r="G479" s="119"/>
      <c r="H479" s="119"/>
      <c r="I479" s="119"/>
      <c r="J479" s="119"/>
      <c r="Q479" s="119"/>
      <c r="R479" s="119"/>
      <c r="S479" s="119"/>
      <c r="T479" s="119"/>
      <c r="U479" s="119"/>
      <c r="V479" s="119"/>
      <c r="W479" s="119"/>
    </row>
    <row r="480" spans="1:23" x14ac:dyDescent="0.2">
      <c r="A480" s="119" t="s">
        <v>487</v>
      </c>
      <c r="B480" s="119" t="s">
        <v>1191</v>
      </c>
      <c r="C480" s="115"/>
      <c r="D480" s="123" t="str">
        <f>IF(Kielivalinta="","",IF(Kielivalinta="Suomi",_xlfn.IFNA(VLOOKUP($A480,Data!$A$2:$C$612,2,FALSE),0),IF(Kielivalinta="Svenska",_xlfn.IFNA(VLOOKUP($B480,Data!$A$2:$C$612,2,FALSE),0))))</f>
        <v/>
      </c>
      <c r="E480" s="123" t="str">
        <f>IF(Kielivalinta="","",IF(Kielivalinta="Suomi",_xlfn.IFNA(VLOOKUP($A480,Data!$A$2:$C$612,3,FALSE),0),IF(Kielivalinta="Svenska",_xlfn.IFNA(VLOOKUP($B480,Data!$A$2:$C$612,3,FALSE),0))))</f>
        <v/>
      </c>
      <c r="F480" s="119"/>
      <c r="G480" s="119"/>
      <c r="H480" s="119"/>
      <c r="I480" s="119"/>
      <c r="Q480" s="119"/>
      <c r="R480" s="119"/>
      <c r="S480" s="119"/>
      <c r="T480" s="119"/>
      <c r="U480" s="119"/>
      <c r="V480" s="119"/>
      <c r="W480" s="119"/>
    </row>
    <row r="481" spans="1:23" x14ac:dyDescent="0.2">
      <c r="A481" s="122" t="s">
        <v>488</v>
      </c>
      <c r="B481" s="122" t="s">
        <v>1192</v>
      </c>
      <c r="C481" s="115"/>
      <c r="D481" s="123" t="str">
        <f>IF(Kielivalinta="","",IF(Kielivalinta="Suomi",_xlfn.IFNA(VLOOKUP($A481,Data!$A$2:$C$612,2,FALSE),0),IF(Kielivalinta="Svenska",_xlfn.IFNA(VLOOKUP($B481,Data!$A$2:$C$612,2,FALSE),0))))</f>
        <v/>
      </c>
      <c r="E481" s="123" t="str">
        <f>IF(Kielivalinta="","",IF(Kielivalinta="Suomi",_xlfn.IFNA(VLOOKUP($A481,Data!$A$2:$C$612,3,FALSE),0),IF(Kielivalinta="Svenska",_xlfn.IFNA(VLOOKUP($B481,Data!$A$2:$C$612,3,FALSE),0))))</f>
        <v/>
      </c>
      <c r="F481" s="119"/>
      <c r="G481" s="119"/>
      <c r="H481" s="119"/>
      <c r="I481" s="119"/>
      <c r="Q481" s="122"/>
      <c r="R481" s="119"/>
      <c r="S481" s="119"/>
      <c r="T481" s="119"/>
      <c r="U481" s="119"/>
      <c r="V481" s="119"/>
      <c r="W481" s="119"/>
    </row>
    <row r="482" spans="1:23" x14ac:dyDescent="0.2">
      <c r="A482" s="122" t="s">
        <v>489</v>
      </c>
      <c r="B482" s="122" t="s">
        <v>1193</v>
      </c>
      <c r="C482" s="115"/>
      <c r="D482" s="123" t="str">
        <f>IF(Kielivalinta="","",IF(Kielivalinta="Suomi",_xlfn.IFNA(VLOOKUP($A482,Data!$A$2:$C$612,2,FALSE),0),IF(Kielivalinta="Svenska",_xlfn.IFNA(VLOOKUP($B482,Data!$A$2:$C$612,2,FALSE),0))))</f>
        <v/>
      </c>
      <c r="E482" s="123" t="str">
        <f>IF(Kielivalinta="","",IF(Kielivalinta="Suomi",_xlfn.IFNA(VLOOKUP($A482,Data!$A$2:$C$612,3,FALSE),0),IF(Kielivalinta="Svenska",_xlfn.IFNA(VLOOKUP($B482,Data!$A$2:$C$612,3,FALSE),0))))</f>
        <v/>
      </c>
      <c r="F482" s="119"/>
      <c r="G482" s="119"/>
      <c r="H482" s="119"/>
      <c r="I482" s="119"/>
      <c r="Q482" s="122"/>
      <c r="R482" s="119"/>
      <c r="S482" s="119"/>
      <c r="T482" s="119"/>
      <c r="U482" s="119"/>
      <c r="V482" s="119"/>
      <c r="W482" s="119"/>
    </row>
    <row r="483" spans="1:23" x14ac:dyDescent="0.2">
      <c r="A483" s="119" t="s">
        <v>490</v>
      </c>
      <c r="B483" s="119" t="s">
        <v>1194</v>
      </c>
      <c r="C483" s="115"/>
      <c r="D483" s="123" t="str">
        <f>IF(Kielivalinta="","",IF(Kielivalinta="Suomi",_xlfn.IFNA(VLOOKUP($A483,Data!$A$2:$C$612,2,FALSE),0),IF(Kielivalinta="Svenska",_xlfn.IFNA(VLOOKUP($B483,Data!$A$2:$C$612,2,FALSE),0))))</f>
        <v/>
      </c>
      <c r="E483" s="123" t="str">
        <f>IF(Kielivalinta="","",IF(Kielivalinta="Suomi",_xlfn.IFNA(VLOOKUP($A483,Data!$A$2:$C$612,3,FALSE),0),IF(Kielivalinta="Svenska",_xlfn.IFNA(VLOOKUP($B483,Data!$A$2:$C$612,3,FALSE),0))))</f>
        <v/>
      </c>
      <c r="F483" s="119"/>
      <c r="G483" s="119"/>
      <c r="H483" s="119"/>
      <c r="I483" s="119"/>
      <c r="J483" s="119"/>
      <c r="Q483" s="119"/>
      <c r="R483" s="119"/>
      <c r="S483" s="119"/>
      <c r="T483" s="119"/>
      <c r="U483" s="119"/>
      <c r="V483" s="119"/>
      <c r="W483" s="119"/>
    </row>
    <row r="484" spans="1:23" x14ac:dyDescent="0.2">
      <c r="A484" s="119" t="s">
        <v>491</v>
      </c>
      <c r="B484" s="119" t="s">
        <v>1195</v>
      </c>
      <c r="C484" s="115"/>
      <c r="D484" s="123" t="str">
        <f>IF(Kielivalinta="","",IF(Kielivalinta="Suomi",_xlfn.IFNA(VLOOKUP($A484,Data!$A$2:$C$612,2,FALSE),0),IF(Kielivalinta="Svenska",_xlfn.IFNA(VLOOKUP($B484,Data!$A$2:$C$612,2,FALSE),0))))</f>
        <v/>
      </c>
      <c r="E484" s="123" t="str">
        <f>IF(Kielivalinta="","",IF(Kielivalinta="Suomi",_xlfn.IFNA(VLOOKUP($A484,Data!$A$2:$C$612,3,FALSE),0),IF(Kielivalinta="Svenska",_xlfn.IFNA(VLOOKUP($B484,Data!$A$2:$C$612,3,FALSE),0))))</f>
        <v/>
      </c>
      <c r="F484" s="119"/>
      <c r="G484" s="119"/>
      <c r="H484" s="119"/>
      <c r="I484" s="119"/>
      <c r="J484" s="119"/>
      <c r="Q484" s="119"/>
      <c r="R484" s="119"/>
      <c r="S484" s="119"/>
      <c r="T484" s="119"/>
      <c r="U484" s="119"/>
      <c r="V484" s="119"/>
      <c r="W484" s="119"/>
    </row>
    <row r="485" spans="1:23" x14ac:dyDescent="0.2">
      <c r="A485" s="119" t="s">
        <v>492</v>
      </c>
      <c r="B485" s="119" t="s">
        <v>980</v>
      </c>
      <c r="C485" s="115"/>
      <c r="D485" s="123" t="str">
        <f>IF(Kielivalinta="","",IF(Kielivalinta="Suomi",_xlfn.IFNA(VLOOKUP($A485,Data!$A$2:$C$612,2,FALSE),0),IF(Kielivalinta="Svenska",_xlfn.IFNA(VLOOKUP($B485,Data!$A$2:$C$612,2,FALSE),0))))</f>
        <v/>
      </c>
      <c r="E485" s="123" t="str">
        <f>IF(Kielivalinta="","",IF(Kielivalinta="Suomi",_xlfn.IFNA(VLOOKUP($A485,Data!$A$2:$C$612,3,FALSE),0),IF(Kielivalinta="Svenska",_xlfn.IFNA(VLOOKUP($B485,Data!$A$2:$C$612,3,FALSE),0))))</f>
        <v/>
      </c>
      <c r="F485" s="119"/>
      <c r="G485" s="119"/>
      <c r="H485" s="119"/>
      <c r="I485" s="119"/>
      <c r="J485" s="119"/>
      <c r="Q485" s="119"/>
      <c r="R485" s="119"/>
      <c r="S485" s="119"/>
      <c r="T485" s="119"/>
      <c r="U485" s="119"/>
      <c r="V485" s="119"/>
      <c r="W485" s="119"/>
    </row>
    <row r="486" spans="1:23" x14ac:dyDescent="0.2">
      <c r="A486" s="119" t="s">
        <v>493</v>
      </c>
      <c r="B486" s="119" t="s">
        <v>981</v>
      </c>
      <c r="C486" s="115"/>
      <c r="D486" s="123" t="str">
        <f>IF(Kielivalinta="","",IF(Kielivalinta="Suomi",_xlfn.IFNA(VLOOKUP($A486,Data!$A$2:$C$612,2,FALSE),0),IF(Kielivalinta="Svenska",_xlfn.IFNA(VLOOKUP($B486,Data!$A$2:$C$612,2,FALSE),0))))</f>
        <v/>
      </c>
      <c r="E486" s="123" t="str">
        <f>IF(Kielivalinta="","",IF(Kielivalinta="Suomi",_xlfn.IFNA(VLOOKUP($A486,Data!$A$2:$C$612,3,FALSE),0),IF(Kielivalinta="Svenska",_xlfn.IFNA(VLOOKUP($B486,Data!$A$2:$C$612,3,FALSE),0))))</f>
        <v/>
      </c>
      <c r="F486" s="119"/>
      <c r="G486" s="119"/>
      <c r="H486" s="119"/>
      <c r="I486" s="119"/>
      <c r="J486" s="119"/>
      <c r="Q486" s="119"/>
      <c r="R486" s="119"/>
      <c r="S486" s="119"/>
      <c r="T486" s="119"/>
      <c r="U486" s="119"/>
      <c r="V486" s="119"/>
      <c r="W486" s="119"/>
    </row>
    <row r="487" spans="1:23" x14ac:dyDescent="0.2">
      <c r="A487" s="119" t="s">
        <v>494</v>
      </c>
      <c r="B487" s="119" t="s">
        <v>1196</v>
      </c>
      <c r="C487" s="115"/>
      <c r="D487" s="123" t="str">
        <f>IF(Kielivalinta="","",IF(Kielivalinta="Suomi",_xlfn.IFNA(VLOOKUP($A487,Data!$A$2:$C$612,2,FALSE),0),IF(Kielivalinta="Svenska",_xlfn.IFNA(VLOOKUP($B487,Data!$A$2:$C$612,2,FALSE),0))))</f>
        <v/>
      </c>
      <c r="E487" s="123" t="str">
        <f>IF(Kielivalinta="","",IF(Kielivalinta="Suomi",_xlfn.IFNA(VLOOKUP($A487,Data!$A$2:$C$612,3,FALSE),0),IF(Kielivalinta="Svenska",_xlfn.IFNA(VLOOKUP($B487,Data!$A$2:$C$612,3,FALSE),0))))</f>
        <v/>
      </c>
      <c r="F487" s="119"/>
      <c r="G487" s="119"/>
      <c r="H487" s="119"/>
      <c r="I487" s="119"/>
      <c r="J487" s="119"/>
      <c r="Q487" s="119"/>
      <c r="R487" s="119"/>
      <c r="S487" s="119"/>
      <c r="T487" s="119"/>
      <c r="U487" s="119"/>
      <c r="V487" s="119"/>
      <c r="W487" s="119"/>
    </row>
    <row r="488" spans="1:23" x14ac:dyDescent="0.2">
      <c r="A488" s="122" t="s">
        <v>495</v>
      </c>
      <c r="B488" s="122" t="s">
        <v>1197</v>
      </c>
      <c r="C488" s="115"/>
      <c r="D488" s="123" t="str">
        <f>IF(Kielivalinta="","",IF(Kielivalinta="Suomi",_xlfn.IFNA(VLOOKUP($A488,Data!$A$2:$C$612,2,FALSE),0),IF(Kielivalinta="Svenska",_xlfn.IFNA(VLOOKUP($B488,Data!$A$2:$C$612,2,FALSE),0))))</f>
        <v/>
      </c>
      <c r="E488" s="123" t="str">
        <f>IF(Kielivalinta="","",IF(Kielivalinta="Suomi",_xlfn.IFNA(VLOOKUP($A488,Data!$A$2:$C$612,3,FALSE),0),IF(Kielivalinta="Svenska",_xlfn.IFNA(VLOOKUP($B488,Data!$A$2:$C$612,3,FALSE),0))))</f>
        <v/>
      </c>
      <c r="F488" s="119"/>
      <c r="G488" s="119"/>
      <c r="H488" s="119"/>
      <c r="I488" s="119"/>
      <c r="J488" s="119"/>
      <c r="Q488" s="122"/>
      <c r="R488" s="119"/>
      <c r="S488" s="119"/>
      <c r="T488" s="119"/>
      <c r="U488" s="119"/>
      <c r="V488" s="119"/>
      <c r="W488" s="119"/>
    </row>
    <row r="489" spans="1:23" x14ac:dyDescent="0.2">
      <c r="A489" s="122" t="s">
        <v>496</v>
      </c>
      <c r="B489" s="122" t="s">
        <v>982</v>
      </c>
      <c r="C489" s="115"/>
      <c r="D489" s="123" t="str">
        <f>IF(Kielivalinta="","",IF(Kielivalinta="Suomi",_xlfn.IFNA(VLOOKUP($A489,Data!$A$2:$C$612,2,FALSE),0),IF(Kielivalinta="Svenska",_xlfn.IFNA(VLOOKUP($B489,Data!$A$2:$C$612,2,FALSE),0))))</f>
        <v/>
      </c>
      <c r="E489" s="123" t="str">
        <f>IF(Kielivalinta="","",IF(Kielivalinta="Suomi",_xlfn.IFNA(VLOOKUP($A489,Data!$A$2:$C$612,3,FALSE),0),IF(Kielivalinta="Svenska",_xlfn.IFNA(VLOOKUP($B489,Data!$A$2:$C$612,3,FALSE),0))))</f>
        <v/>
      </c>
      <c r="F489" s="119"/>
      <c r="G489" s="119"/>
      <c r="H489" s="119"/>
      <c r="I489" s="119"/>
      <c r="J489" s="119"/>
      <c r="Q489" s="122"/>
      <c r="R489" s="119"/>
      <c r="S489" s="119"/>
      <c r="T489" s="119"/>
      <c r="U489" s="119"/>
      <c r="V489" s="119"/>
      <c r="W489" s="119"/>
    </row>
    <row r="490" spans="1:23" x14ac:dyDescent="0.2">
      <c r="A490" s="119" t="s">
        <v>497</v>
      </c>
      <c r="B490" s="119" t="s">
        <v>983</v>
      </c>
      <c r="C490" s="115"/>
      <c r="D490" s="123" t="str">
        <f>IF(Kielivalinta="","",IF(Kielivalinta="Suomi",_xlfn.IFNA(VLOOKUP($A490,Data!$A$2:$C$612,2,FALSE),0),IF(Kielivalinta="Svenska",_xlfn.IFNA(VLOOKUP($B490,Data!$A$2:$C$612,2,FALSE),0))))</f>
        <v/>
      </c>
      <c r="E490" s="123" t="str">
        <f>IF(Kielivalinta="","",IF(Kielivalinta="Suomi",_xlfn.IFNA(VLOOKUP($A490,Data!$A$2:$C$612,3,FALSE),0),IF(Kielivalinta="Svenska",_xlfn.IFNA(VLOOKUP($B490,Data!$A$2:$C$612,3,FALSE),0))))</f>
        <v/>
      </c>
      <c r="F490" s="131" t="str">
        <f>IF(Kielivalinta="","",IF(Kielivalinta="Suomi","Toimintakulut, kirjaston budjetti (1000 €)",IF(Kielivalinta="Svenska","Verksamsutgifter, bibliotekets budget (1000 €)")))</f>
        <v/>
      </c>
      <c r="G490" s="119"/>
      <c r="H490" s="119"/>
      <c r="I490" s="119"/>
      <c r="J490" s="119"/>
      <c r="Q490" s="119"/>
      <c r="R490" s="119"/>
      <c r="S490" s="119"/>
      <c r="T490" s="119"/>
      <c r="U490" s="119"/>
      <c r="V490" s="119"/>
      <c r="W490" s="119"/>
    </row>
    <row r="491" spans="1:23" x14ac:dyDescent="0.2">
      <c r="A491" s="119" t="s">
        <v>498</v>
      </c>
      <c r="B491" s="119" t="s">
        <v>1198</v>
      </c>
      <c r="C491" s="115"/>
      <c r="D491" s="123" t="str">
        <f>IF(Kielivalinta="","",IF(Kielivalinta="Suomi",_xlfn.IFNA(VLOOKUP($A491,Data!$A$2:$C$612,2,FALSE),0),IF(Kielivalinta="Svenska",_xlfn.IFNA(VLOOKUP($B491,Data!$A$2:$C$612,2,FALSE),0))))</f>
        <v/>
      </c>
      <c r="E491" s="123" t="str">
        <f>IF(Kielivalinta="","",IF(Kielivalinta="Suomi",_xlfn.IFNA(VLOOKUP($A491,Data!$A$2:$C$612,3,FALSE),0),IF(Kielivalinta="Svenska",_xlfn.IFNA(VLOOKUP($B491,Data!$A$2:$C$612,3,FALSE),0))))</f>
        <v/>
      </c>
      <c r="F491" s="119"/>
      <c r="G491" s="139" t="str">
        <f>RIGHT(Data!$B$3,4)</f>
        <v/>
      </c>
      <c r="H491" s="139" t="str">
        <f>RIGHT(Data!$C$3,4)</f>
        <v/>
      </c>
      <c r="I491" s="119"/>
      <c r="J491" s="119"/>
      <c r="Q491" s="119"/>
      <c r="R491" s="119"/>
      <c r="S491" s="119"/>
      <c r="T491" s="119"/>
      <c r="U491" s="119"/>
      <c r="V491" s="119"/>
      <c r="W491" s="119"/>
    </row>
    <row r="492" spans="1:23" x14ac:dyDescent="0.2">
      <c r="A492" s="122" t="s">
        <v>499</v>
      </c>
      <c r="B492" s="122" t="s">
        <v>1199</v>
      </c>
      <c r="C492" s="115"/>
      <c r="D492" s="123" t="str">
        <f>IF(Kielivalinta="","",IF(Kielivalinta="Suomi",_xlfn.IFNA(VLOOKUP($A492,Data!$A$2:$C$612,2,FALSE),0),IF(Kielivalinta="Svenska",_xlfn.IFNA(VLOOKUP($B492,Data!$A$2:$C$612,2,FALSE),0))))</f>
        <v/>
      </c>
      <c r="E492" s="123" t="str">
        <f>IF(Kielivalinta="","",IF(Kielivalinta="Suomi",_xlfn.IFNA(VLOOKUP($A492,Data!$A$2:$C$612,3,FALSE),0),IF(Kielivalinta="Svenska",_xlfn.IFNA(VLOOKUP($B492,Data!$A$2:$C$612,3,FALSE),0))))</f>
        <v/>
      </c>
      <c r="F492" s="131" t="str">
        <f>IF(Kielivalinta="","",IF(Kielivalinta="Suomi","Kirjastoaineisto",IF(Kielivalinta="Svenska","Biblioteksmaterial")))</f>
        <v/>
      </c>
      <c r="G492" s="146" t="str">
        <f>D495</f>
        <v/>
      </c>
      <c r="H492" s="146" t="str">
        <f>E495</f>
        <v/>
      </c>
      <c r="I492" s="119"/>
      <c r="J492" s="119"/>
      <c r="Q492" s="122"/>
      <c r="R492" s="119"/>
      <c r="S492" s="119"/>
      <c r="T492" s="119"/>
      <c r="U492" s="119"/>
      <c r="V492" s="119"/>
      <c r="W492" s="119"/>
    </row>
    <row r="493" spans="1:23" x14ac:dyDescent="0.2">
      <c r="A493" s="122" t="s">
        <v>500</v>
      </c>
      <c r="B493" s="122" t="s">
        <v>1200</v>
      </c>
      <c r="C493" s="115"/>
      <c r="D493" s="123" t="str">
        <f>IF(Kielivalinta="","",IF(Kielivalinta="Suomi",_xlfn.IFNA(VLOOKUP($A493,Data!$A$2:$C$612,2,FALSE),0),IF(Kielivalinta="Svenska",_xlfn.IFNA(VLOOKUP($B493,Data!$A$2:$C$612,2,FALSE),0))))</f>
        <v/>
      </c>
      <c r="E493" s="123" t="str">
        <f>IF(Kielivalinta="","",IF(Kielivalinta="Suomi",_xlfn.IFNA(VLOOKUP($A493,Data!$A$2:$C$612,3,FALSE),0),IF(Kielivalinta="Svenska",_xlfn.IFNA(VLOOKUP($B493,Data!$A$2:$C$612,3,FALSE),0))))</f>
        <v/>
      </c>
      <c r="F493" s="131" t="str">
        <f>IF(Kielivalinta="","",IF(Kielivalinta="Suomi","Henkilöstö",IF(Kielivalinta="Svenska","Personal")))</f>
        <v/>
      </c>
      <c r="G493" s="146" t="str">
        <f>D492</f>
        <v/>
      </c>
      <c r="H493" s="146" t="str">
        <f>E492</f>
        <v/>
      </c>
      <c r="I493" s="119"/>
      <c r="J493" s="119"/>
      <c r="Q493" s="122"/>
      <c r="R493" s="119"/>
      <c r="S493" s="119"/>
      <c r="T493" s="119"/>
      <c r="U493" s="119"/>
      <c r="V493" s="119"/>
      <c r="W493" s="119"/>
    </row>
    <row r="494" spans="1:23" x14ac:dyDescent="0.2">
      <c r="A494" s="119" t="s">
        <v>501</v>
      </c>
      <c r="B494" s="119" t="s">
        <v>1201</v>
      </c>
      <c r="C494" s="115"/>
      <c r="D494" s="123" t="str">
        <f>IF(Kielivalinta="","",IF(Kielivalinta="Suomi",_xlfn.IFNA(VLOOKUP($A494,Data!$A$2:$C$612,2,FALSE),0),IF(Kielivalinta="Svenska",_xlfn.IFNA(VLOOKUP($B494,Data!$A$2:$C$612,2,FALSE),0))))</f>
        <v/>
      </c>
      <c r="E494" s="123" t="str">
        <f>IF(Kielivalinta="","",IF(Kielivalinta="Suomi",_xlfn.IFNA(VLOOKUP($A494,Data!$A$2:$C$612,3,FALSE),0),IF(Kielivalinta="Svenska",_xlfn.IFNA(VLOOKUP($B494,Data!$A$2:$C$612,3,FALSE),0))))</f>
        <v/>
      </c>
      <c r="F494" s="131" t="str">
        <f>IF(Kielivalinta="","",IF(Kielivalinta="Suomi","Tilat",IF(Kielivalinta="Svenska","Utrymmen")))</f>
        <v/>
      </c>
      <c r="G494" s="146" t="str">
        <f>D510</f>
        <v/>
      </c>
      <c r="H494" s="146" t="str">
        <f>E510</f>
        <v/>
      </c>
      <c r="I494" s="119"/>
      <c r="J494" s="119"/>
      <c r="Q494" s="119"/>
      <c r="R494" s="119"/>
      <c r="S494" s="119"/>
      <c r="T494" s="119"/>
      <c r="U494" s="119"/>
      <c r="V494" s="119"/>
      <c r="W494" s="119"/>
    </row>
    <row r="495" spans="1:23" x14ac:dyDescent="0.2">
      <c r="A495" s="119" t="s">
        <v>502</v>
      </c>
      <c r="B495" s="119" t="s">
        <v>1202</v>
      </c>
      <c r="C495" s="115"/>
      <c r="D495" s="123" t="str">
        <f>IF(Kielivalinta="","",IF(Kielivalinta="Suomi",_xlfn.IFNA(VLOOKUP($A495,Data!$A$2:$C$612,2,FALSE),0),IF(Kielivalinta="Svenska",_xlfn.IFNA(VLOOKUP($B495,Data!$A$2:$C$612,2,FALSE),0))))</f>
        <v/>
      </c>
      <c r="E495" s="123" t="str">
        <f>IF(Kielivalinta="","",IF(Kielivalinta="Suomi",_xlfn.IFNA(VLOOKUP($A495,Data!$A$2:$C$612,3,FALSE),0),IF(Kielivalinta="Svenska",_xlfn.IFNA(VLOOKUP($B495,Data!$A$2:$C$612,3,FALSE),0))))</f>
        <v/>
      </c>
      <c r="F495" s="131" t="str">
        <f>IF(Kielivalinta="","",IF(Kielivalinta="Suomi","Käyttömenot",IF(Kielivalinta="Svenska","Driftskostnaderna")))</f>
        <v/>
      </c>
      <c r="G495" s="146" t="str">
        <f>IFERROR((D506+D511+D512),"")</f>
        <v/>
      </c>
      <c r="H495" s="146" t="str">
        <f>IFERROR((E506+E511+E512),"")</f>
        <v/>
      </c>
      <c r="I495" s="119"/>
      <c r="J495" s="119"/>
      <c r="Q495" s="119"/>
      <c r="R495" s="119"/>
      <c r="S495" s="119"/>
      <c r="T495" s="119"/>
      <c r="U495" s="119"/>
      <c r="V495" s="119"/>
      <c r="W495" s="119"/>
    </row>
    <row r="496" spans="1:23" x14ac:dyDescent="0.2">
      <c r="A496" s="119" t="s">
        <v>503</v>
      </c>
      <c r="B496" s="119" t="s">
        <v>1203</v>
      </c>
      <c r="C496" s="115"/>
      <c r="D496" s="123" t="str">
        <f>IF(Kielivalinta="","",IF(Kielivalinta="Suomi",_xlfn.IFNA(VLOOKUP($A496,Data!$A$2:$C$612,2,FALSE),0),IF(Kielivalinta="Svenska",_xlfn.IFNA(VLOOKUP($B496,Data!$A$2:$C$612,2,FALSE),0))))</f>
        <v/>
      </c>
      <c r="E496" s="123" t="str">
        <f>IF(Kielivalinta="","",IF(Kielivalinta="Suomi",_xlfn.IFNA(VLOOKUP($A496,Data!$A$2:$C$612,3,FALSE),0),IF(Kielivalinta="Svenska",_xlfn.IFNA(VLOOKUP($B496,Data!$A$2:$C$612,3,FALSE),0))))</f>
        <v/>
      </c>
      <c r="F496" s="137" t="str">
        <f>IF(Kielivalinta="","",IF(Kielivalinta="Suomi","Yhteensä",IF(Kielivalinta="Svenska","Tillsammans")))</f>
        <v/>
      </c>
      <c r="G496" s="147">
        <f>SUM(G492:G495)</f>
        <v>0</v>
      </c>
      <c r="H496" s="147">
        <f>SUM(H492:H495)</f>
        <v>0</v>
      </c>
      <c r="I496" s="119"/>
      <c r="J496" s="119"/>
      <c r="Q496" s="119"/>
      <c r="R496" s="119"/>
      <c r="S496" s="119"/>
      <c r="T496" s="119"/>
      <c r="U496" s="119"/>
      <c r="V496" s="119"/>
      <c r="W496" s="119"/>
    </row>
    <row r="497" spans="1:23" x14ac:dyDescent="0.2">
      <c r="A497" s="119" t="s">
        <v>504</v>
      </c>
      <c r="B497" s="119" t="s">
        <v>1204</v>
      </c>
      <c r="C497" s="115"/>
      <c r="D497" s="123" t="str">
        <f>IF(Kielivalinta="","",IF(Kielivalinta="Suomi",_xlfn.IFNA(VLOOKUP($A497,Data!$A$2:$C$612,2,FALSE),0),IF(Kielivalinta="Svenska",_xlfn.IFNA(VLOOKUP($B497,Data!$A$2:$C$612,2,FALSE),0))))</f>
        <v/>
      </c>
      <c r="E497" s="123" t="str">
        <f>IF(Kielivalinta="","",IF(Kielivalinta="Suomi",_xlfn.IFNA(VLOOKUP($A497,Data!$A$2:$C$612,3,FALSE),0),IF(Kielivalinta="Svenska",_xlfn.IFNA(VLOOKUP($B497,Data!$A$2:$C$612,3,FALSE),0))))</f>
        <v/>
      </c>
      <c r="F497" s="119"/>
      <c r="G497" s="119"/>
      <c r="H497" s="119"/>
      <c r="I497" s="119"/>
      <c r="J497" s="119"/>
      <c r="Q497" s="119"/>
      <c r="R497" s="119"/>
      <c r="S497" s="119"/>
      <c r="T497" s="119"/>
      <c r="U497" s="119"/>
      <c r="V497" s="119"/>
      <c r="W497" s="119"/>
    </row>
    <row r="498" spans="1:23" x14ac:dyDescent="0.2">
      <c r="A498" s="119" t="s">
        <v>505</v>
      </c>
      <c r="B498" s="119" t="s">
        <v>1205</v>
      </c>
      <c r="C498" s="115"/>
      <c r="D498" s="123" t="str">
        <f>IF(Kielivalinta="","",IF(Kielivalinta="Suomi",_xlfn.IFNA(VLOOKUP($A498,Data!$A$2:$C$612,2,FALSE),0),IF(Kielivalinta="Svenska",_xlfn.IFNA(VLOOKUP($B498,Data!$A$2:$C$612,2,FALSE),0))))</f>
        <v/>
      </c>
      <c r="E498" s="123" t="str">
        <f>IF(Kielivalinta="","",IF(Kielivalinta="Suomi",_xlfn.IFNA(VLOOKUP($A498,Data!$A$2:$C$612,3,FALSE),0),IF(Kielivalinta="Svenska",_xlfn.IFNA(VLOOKUP($B498,Data!$A$2:$C$612,3,FALSE),0))))</f>
        <v/>
      </c>
      <c r="F498" s="131" t="str">
        <f>IF(Kielivalinta="","",IF(Kielivalinta="Suomi","Kirjastoaineistokulut, kirjaston budjetti (1000 €)",IF(Kielivalinta="Svenska","Biblioteksmaterialutgifter, bibliotekets budget (1000 €)")))</f>
        <v/>
      </c>
      <c r="G498" s="119"/>
      <c r="H498" s="119"/>
      <c r="I498" s="119"/>
      <c r="J498" s="119"/>
      <c r="Q498" s="119"/>
      <c r="R498" s="119"/>
      <c r="S498" s="119"/>
      <c r="T498" s="119"/>
      <c r="U498" s="119"/>
      <c r="V498" s="119"/>
      <c r="W498" s="119"/>
    </row>
    <row r="499" spans="1:23" x14ac:dyDescent="0.2">
      <c r="A499" s="119" t="s">
        <v>506</v>
      </c>
      <c r="B499" s="119" t="s">
        <v>1206</v>
      </c>
      <c r="C499" s="115"/>
      <c r="D499" s="123" t="str">
        <f>IF(Kielivalinta="","",IF(Kielivalinta="Suomi",_xlfn.IFNA(VLOOKUP($A499,Data!$A$2:$C$612,2,FALSE),0),IF(Kielivalinta="Svenska",_xlfn.IFNA(VLOOKUP($B499,Data!$A$2:$C$612,2,FALSE),0))))</f>
        <v/>
      </c>
      <c r="E499" s="123" t="str">
        <f>IF(Kielivalinta="","",IF(Kielivalinta="Suomi",_xlfn.IFNA(VLOOKUP($A499,Data!$A$2:$C$612,3,FALSE),0),IF(Kielivalinta="Svenska",_xlfn.IFNA(VLOOKUP($B499,Data!$A$2:$C$612,3,FALSE),0))))</f>
        <v/>
      </c>
      <c r="F499" s="119"/>
      <c r="G499" s="139" t="str">
        <f>RIGHT(Data!$B$3,4)</f>
        <v/>
      </c>
      <c r="H499" s="139" t="str">
        <f>RIGHT(Data!$C$3,4)</f>
        <v/>
      </c>
      <c r="I499" s="119"/>
      <c r="J499" s="119"/>
      <c r="Q499" s="119"/>
      <c r="R499" s="119"/>
      <c r="S499" s="119"/>
      <c r="T499" s="119"/>
      <c r="U499" s="119"/>
      <c r="V499" s="119"/>
      <c r="W499" s="119"/>
    </row>
    <row r="500" spans="1:23" x14ac:dyDescent="0.2">
      <c r="A500" s="119" t="s">
        <v>507</v>
      </c>
      <c r="B500" s="119" t="s">
        <v>1207</v>
      </c>
      <c r="C500" s="115"/>
      <c r="D500" s="123" t="str">
        <f>IF(Kielivalinta="","",IF(Kielivalinta="Suomi",_xlfn.IFNA(VLOOKUP($A500,Data!$A$2:$C$612,2,FALSE),0),IF(Kielivalinta="Svenska",_xlfn.IFNA(VLOOKUP($B500,Data!$A$2:$C$612,2,FALSE),0))))</f>
        <v/>
      </c>
      <c r="E500" s="123" t="str">
        <f>IF(Kielivalinta="","",IF(Kielivalinta="Suomi",_xlfn.IFNA(VLOOKUP($A500,Data!$A$2:$C$612,3,FALSE),0),IF(Kielivalinta="Svenska",_xlfn.IFNA(VLOOKUP($B500,Data!$A$2:$C$612,3,FALSE),0))))</f>
        <v/>
      </c>
      <c r="F500" s="131" t="str">
        <f>IF(Kielivalinta="","",IF(Kielivalinta="Suomi","Painettu",IF(Kielivalinta="Svenska","Tryckt")))</f>
        <v/>
      </c>
      <c r="G500" s="128" t="str">
        <f>D496</f>
        <v/>
      </c>
      <c r="H500" s="128" t="str">
        <f>E496</f>
        <v/>
      </c>
      <c r="I500" s="131" t="str">
        <f>IF(Kielivalinta="","",IF(Kielivalinta="Suomi","Painettu aineisto yht (1000 €)",IF(Kielivalinta="Svenska","Tryckt material, totalt (1000 €)")))</f>
        <v/>
      </c>
      <c r="J500" s="119"/>
      <c r="Q500" s="119"/>
      <c r="R500" s="119"/>
      <c r="S500" s="119"/>
      <c r="T500" s="119"/>
      <c r="U500" s="119"/>
      <c r="V500" s="119"/>
      <c r="W500" s="119"/>
    </row>
    <row r="501" spans="1:23" x14ac:dyDescent="0.2">
      <c r="A501" s="119" t="s">
        <v>508</v>
      </c>
      <c r="B501" s="119" t="s">
        <v>1208</v>
      </c>
      <c r="C501" s="115"/>
      <c r="D501" s="123" t="str">
        <f>IF(Kielivalinta="","",IF(Kielivalinta="Suomi",_xlfn.IFNA(VLOOKUP($A501,Data!$A$2:$C$612,2,FALSE),0),IF(Kielivalinta="Svenska",_xlfn.IFNA(VLOOKUP($B501,Data!$A$2:$C$612,2,FALSE),0))))</f>
        <v/>
      </c>
      <c r="E501" s="123" t="str">
        <f>IF(Kielivalinta="","",IF(Kielivalinta="Suomi",_xlfn.IFNA(VLOOKUP($A501,Data!$A$2:$C$612,3,FALSE),0),IF(Kielivalinta="Svenska",_xlfn.IFNA(VLOOKUP($B501,Data!$A$2:$C$612,3,FALSE),0))))</f>
        <v/>
      </c>
      <c r="F501" s="131" t="str">
        <f>IF(Kielivalinta="","",IF(Kielivalinta="Suomi","Elektroninen",IF(Kielivalinta="Svenska","Elektronisk")))</f>
        <v/>
      </c>
      <c r="G501" s="128" t="str">
        <f>D500</f>
        <v/>
      </c>
      <c r="H501" s="128" t="str">
        <f>E500</f>
        <v/>
      </c>
      <c r="I501" s="131" t="str">
        <f>IF(Kielivalinta="","",IF(Kielivalinta="Suomi","E-aineisto yht (1000 €)",IF(Kielivalinta="Svenska","E-material, totalt (1000 €)")))</f>
        <v/>
      </c>
      <c r="J501" s="119"/>
      <c r="Q501" s="119"/>
      <c r="R501" s="119"/>
      <c r="S501" s="119"/>
      <c r="T501" s="119"/>
      <c r="U501" s="119"/>
      <c r="V501" s="119"/>
      <c r="W501" s="119"/>
    </row>
    <row r="502" spans="1:23" x14ac:dyDescent="0.2">
      <c r="A502" s="119" t="s">
        <v>509</v>
      </c>
      <c r="B502" s="119" t="s">
        <v>1209</v>
      </c>
      <c r="C502" s="115"/>
      <c r="D502" s="123" t="str">
        <f>IF(Kielivalinta="","",IF(Kielivalinta="Suomi",_xlfn.IFNA(VLOOKUP($A502,Data!$A$2:$C$612,2,FALSE),0),IF(Kielivalinta="Svenska",_xlfn.IFNA(VLOOKUP($B502,Data!$A$2:$C$612,2,FALSE),0))))</f>
        <v/>
      </c>
      <c r="E502" s="123" t="str">
        <f>IF(Kielivalinta="","",IF(Kielivalinta="Suomi",_xlfn.IFNA(VLOOKUP($A502,Data!$A$2:$C$612,3,FALSE),0),IF(Kielivalinta="Svenska",_xlfn.IFNA(VLOOKUP($B502,Data!$A$2:$C$612,3,FALSE),0))))</f>
        <v/>
      </c>
      <c r="F502" s="131" t="str">
        <f>IF(Kielivalinta="","",IF(Kielivalinta="Suomi","Muu",IF(Kielivalinta="Svenska","Övrigt")))</f>
        <v/>
      </c>
      <c r="G502" s="128" t="str">
        <f>D505</f>
        <v/>
      </c>
      <c r="H502" s="128" t="str">
        <f>E505</f>
        <v/>
      </c>
      <c r="I502" s="119"/>
      <c r="J502" s="119"/>
      <c r="Q502" s="119"/>
      <c r="R502" s="119"/>
      <c r="S502" s="119"/>
      <c r="T502" s="119"/>
      <c r="U502" s="119"/>
      <c r="V502" s="119"/>
      <c r="W502" s="119"/>
    </row>
    <row r="503" spans="1:23" x14ac:dyDescent="0.2">
      <c r="A503" s="119" t="s">
        <v>510</v>
      </c>
      <c r="B503" s="119" t="s">
        <v>1210</v>
      </c>
      <c r="C503" s="115"/>
      <c r="D503" s="123" t="str">
        <f>IF(Kielivalinta="","",IF(Kielivalinta="Suomi",_xlfn.IFNA(VLOOKUP($A503,Data!$A$2:$C$612,2,FALSE),0),IF(Kielivalinta="Svenska",_xlfn.IFNA(VLOOKUP($B503,Data!$A$2:$C$612,2,FALSE),0))))</f>
        <v/>
      </c>
      <c r="E503" s="123" t="str">
        <f>IF(Kielivalinta="","",IF(Kielivalinta="Suomi",_xlfn.IFNA(VLOOKUP($A503,Data!$A$2:$C$612,3,FALSE),0),IF(Kielivalinta="Svenska",_xlfn.IFNA(VLOOKUP($B503,Data!$A$2:$C$612,3,FALSE),0))))</f>
        <v/>
      </c>
      <c r="F503" s="137" t="str">
        <f>IF(Kielivalinta="","",IF(Kielivalinta="Suomi","Yhteensä",IF(Kielivalinta="Svenska","Tillsammans")))</f>
        <v/>
      </c>
      <c r="G503" s="147">
        <f>SUM(G500:G502)</f>
        <v>0</v>
      </c>
      <c r="H503" s="147">
        <f>SUM(H500:H502)</f>
        <v>0</v>
      </c>
      <c r="I503" s="119"/>
      <c r="J503" s="119"/>
      <c r="Q503" s="119"/>
      <c r="R503" s="119"/>
      <c r="S503" s="119"/>
      <c r="T503" s="119"/>
      <c r="U503" s="119"/>
      <c r="V503" s="119"/>
      <c r="W503" s="119"/>
    </row>
    <row r="504" spans="1:23" x14ac:dyDescent="0.2">
      <c r="A504" s="119" t="s">
        <v>511</v>
      </c>
      <c r="B504" s="119" t="s">
        <v>1211</v>
      </c>
      <c r="C504" s="115"/>
      <c r="D504" s="123" t="str">
        <f>IF(Kielivalinta="","",IF(Kielivalinta="Suomi",_xlfn.IFNA(VLOOKUP($A504,Data!$A$2:$C$612,2,FALSE),0),IF(Kielivalinta="Svenska",_xlfn.IFNA(VLOOKUP($B504,Data!$A$2:$C$612,2,FALSE),0))))</f>
        <v/>
      </c>
      <c r="E504" s="123" t="str">
        <f>IF(Kielivalinta="","",IF(Kielivalinta="Suomi",_xlfn.IFNA(VLOOKUP($A504,Data!$A$2:$C$612,3,FALSE),0),IF(Kielivalinta="Svenska",_xlfn.IFNA(VLOOKUP($B504,Data!$A$2:$C$612,3,FALSE),0))))</f>
        <v/>
      </c>
      <c r="I504" s="119"/>
      <c r="J504" s="119"/>
      <c r="Q504" s="119"/>
      <c r="R504" s="119"/>
      <c r="S504" s="119"/>
      <c r="T504" s="119"/>
      <c r="U504" s="119"/>
      <c r="V504" s="119"/>
      <c r="W504" s="119"/>
    </row>
    <row r="505" spans="1:23" x14ac:dyDescent="0.2">
      <c r="A505" s="119" t="s">
        <v>512</v>
      </c>
      <c r="B505" s="119" t="s">
        <v>1212</v>
      </c>
      <c r="C505" s="115"/>
      <c r="D505" s="123" t="str">
        <f>IF(Kielivalinta="","",IF(Kielivalinta="Suomi",_xlfn.IFNA(VLOOKUP($A505,Data!$A$2:$C$612,2,FALSE),0),IF(Kielivalinta="Svenska",_xlfn.IFNA(VLOOKUP($B505,Data!$A$2:$C$612,2,FALSE),0))))</f>
        <v/>
      </c>
      <c r="E505" s="123" t="str">
        <f>IF(Kielivalinta="","",IF(Kielivalinta="Suomi",_xlfn.IFNA(VLOOKUP($A505,Data!$A$2:$C$612,3,FALSE),0),IF(Kielivalinta="Svenska",_xlfn.IFNA(VLOOKUP($B505,Data!$A$2:$C$612,3,FALSE),0))))</f>
        <v/>
      </c>
      <c r="F505" s="119"/>
      <c r="G505" s="139" t="str">
        <f>RIGHT(Data!$B$3,4)</f>
        <v/>
      </c>
      <c r="H505" s="139" t="str">
        <f>RIGHT(Data!$C$3,4)</f>
        <v/>
      </c>
      <c r="I505" s="119"/>
      <c r="J505" s="119"/>
      <c r="Q505" s="119"/>
      <c r="R505" s="119"/>
      <c r="S505" s="119"/>
      <c r="T505" s="119"/>
      <c r="U505" s="119"/>
      <c r="V505" s="119"/>
      <c r="W505" s="119"/>
    </row>
    <row r="506" spans="1:23" x14ac:dyDescent="0.2">
      <c r="A506" s="119" t="s">
        <v>513</v>
      </c>
      <c r="B506" s="119" t="s">
        <v>1213</v>
      </c>
      <c r="C506" s="115"/>
      <c r="D506" s="123" t="str">
        <f>IF(Kielivalinta="","",IF(Kielivalinta="Suomi",_xlfn.IFNA(VLOOKUP($A506,Data!$A$2:$C$612,2,FALSE),0),IF(Kielivalinta="Svenska",_xlfn.IFNA(VLOOKUP($B506,Data!$A$2:$C$612,2,FALSE),0))))</f>
        <v/>
      </c>
      <c r="E506" s="123" t="str">
        <f>IF(Kielivalinta="","",IF(Kielivalinta="Suomi",_xlfn.IFNA(VLOOKUP($A506,Data!$A$2:$C$612,3,FALSE),0),IF(Kielivalinta="Svenska",_xlfn.IFNA(VLOOKUP($B506,Data!$A$2:$C$612,3,FALSE),0))))</f>
        <v/>
      </c>
      <c r="F506" s="131" t="str">
        <f>IF(Kielivalinta="","",IF(Kielivalinta="Suomi","Painetut kausijulk",IF(Kielivalinta="Svenska","Tryckta periodika")))</f>
        <v/>
      </c>
      <c r="G506" s="146" t="str">
        <f t="shared" ref="G506:H508" si="25">D497</f>
        <v/>
      </c>
      <c r="H506" s="146" t="str">
        <f t="shared" si="25"/>
        <v/>
      </c>
      <c r="I506" s="119"/>
      <c r="J506" s="119"/>
      <c r="Q506" s="119"/>
      <c r="R506" s="119"/>
      <c r="S506" s="119"/>
      <c r="T506" s="119"/>
      <c r="U506" s="119"/>
      <c r="V506" s="119"/>
      <c r="W506" s="119"/>
    </row>
    <row r="507" spans="1:23" x14ac:dyDescent="0.2">
      <c r="A507" s="119" t="s">
        <v>514</v>
      </c>
      <c r="B507" s="119" t="s">
        <v>1214</v>
      </c>
      <c r="C507" s="115"/>
      <c r="D507" s="123" t="str">
        <f>IF(Kielivalinta="","",IF(Kielivalinta="Suomi",_xlfn.IFNA(VLOOKUP($A507,Data!$A$2:$C$612,2,FALSE),0),IF(Kielivalinta="Svenska",_xlfn.IFNA(VLOOKUP($B507,Data!$A$2:$C$612,2,FALSE),0))))</f>
        <v/>
      </c>
      <c r="E507" s="123" t="str">
        <f>IF(Kielivalinta="","",IF(Kielivalinta="Suomi",_xlfn.IFNA(VLOOKUP($A507,Data!$A$2:$C$612,3,FALSE),0),IF(Kielivalinta="Svenska",_xlfn.IFNA(VLOOKUP($B507,Data!$A$2:$C$612,3,FALSE),0))))</f>
        <v/>
      </c>
      <c r="F507" s="131" t="str">
        <f>IF(Kielivalinta="","",IF(Kielivalinta="Suomi","Painetut kurssik",IF(Kielivalinta="Svenska","Tryckt kurslitteratur")))</f>
        <v/>
      </c>
      <c r="G507" s="146" t="str">
        <f t="shared" si="25"/>
        <v/>
      </c>
      <c r="H507" s="146" t="str">
        <f t="shared" si="25"/>
        <v/>
      </c>
      <c r="I507" s="119"/>
      <c r="J507" s="119"/>
      <c r="Q507" s="119"/>
      <c r="R507" s="119"/>
      <c r="S507" s="119"/>
      <c r="T507" s="119"/>
      <c r="U507" s="119"/>
      <c r="V507" s="119"/>
      <c r="W507" s="119"/>
    </row>
    <row r="508" spans="1:23" x14ac:dyDescent="0.2">
      <c r="A508" s="119" t="s">
        <v>515</v>
      </c>
      <c r="B508" s="119" t="s">
        <v>984</v>
      </c>
      <c r="C508" s="115"/>
      <c r="D508" s="123" t="str">
        <f>IF(Kielivalinta="","",IF(Kielivalinta="Suomi",_xlfn.IFNA(VLOOKUP($A508,Data!$A$2:$C$612,2,FALSE),0),IF(Kielivalinta="Svenska",_xlfn.IFNA(VLOOKUP($B508,Data!$A$2:$C$612,2,FALSE),0))))</f>
        <v/>
      </c>
      <c r="E508" s="123" t="str">
        <f>IF(Kielivalinta="","",IF(Kielivalinta="Suomi",_xlfn.IFNA(VLOOKUP($A508,Data!$A$2:$C$612,3,FALSE),0),IF(Kielivalinta="Svenska",_xlfn.IFNA(VLOOKUP($B508,Data!$A$2:$C$612,3,FALSE),0))))</f>
        <v/>
      </c>
      <c r="F508" s="131" t="str">
        <f>IF(Kielivalinta="","",IF(Kielivalinta="Suomi","Muut painetut kirjat",IF(Kielivalinta="Svenska","Övriga tryckta böcker")))</f>
        <v/>
      </c>
      <c r="G508" s="146" t="str">
        <f t="shared" si="25"/>
        <v/>
      </c>
      <c r="H508" s="146" t="str">
        <f t="shared" si="25"/>
        <v/>
      </c>
      <c r="I508" s="119"/>
      <c r="J508" s="119"/>
      <c r="Q508" s="119"/>
      <c r="R508" s="119"/>
      <c r="S508" s="119"/>
      <c r="T508" s="119"/>
      <c r="U508" s="119"/>
      <c r="V508" s="119"/>
      <c r="W508" s="119"/>
    </row>
    <row r="509" spans="1:23" x14ac:dyDescent="0.2">
      <c r="A509" s="119" t="s">
        <v>516</v>
      </c>
      <c r="B509" s="119" t="s">
        <v>1215</v>
      </c>
      <c r="C509" s="115"/>
      <c r="D509" s="123" t="str">
        <f>IF(Kielivalinta="","",IF(Kielivalinta="Suomi",_xlfn.IFNA(VLOOKUP($A509,Data!$A$2:$C$612,2,FALSE),0),IF(Kielivalinta="Svenska",_xlfn.IFNA(VLOOKUP($B509,Data!$A$2:$C$612,2,FALSE),0))))</f>
        <v/>
      </c>
      <c r="E509" s="123" t="str">
        <f>IF(Kielivalinta="","",IF(Kielivalinta="Suomi",_xlfn.IFNA(VLOOKUP($A509,Data!$A$2:$C$612,3,FALSE),0),IF(Kielivalinta="Svenska",_xlfn.IFNA(VLOOKUP($B509,Data!$A$2:$C$612,3,FALSE),0))))</f>
        <v/>
      </c>
      <c r="F509" s="122" t="str">
        <f>IF(Kielivalinta="","",IF(Kielivalinta="Suomi","E-lehdet",IF(Kielivalinta="Svenska","E-periodika")))</f>
        <v/>
      </c>
      <c r="G509" s="146" t="str">
        <f t="shared" ref="G509:H513" si="26">D501</f>
        <v/>
      </c>
      <c r="H509" s="146" t="str">
        <f t="shared" si="26"/>
        <v/>
      </c>
      <c r="I509" s="119"/>
      <c r="J509" s="119"/>
      <c r="Q509" s="119"/>
      <c r="R509" s="119"/>
      <c r="S509" s="119"/>
      <c r="T509" s="119"/>
      <c r="U509" s="119"/>
      <c r="V509" s="119"/>
      <c r="W509" s="119"/>
    </row>
    <row r="510" spans="1:23" x14ac:dyDescent="0.2">
      <c r="A510" s="119" t="s">
        <v>517</v>
      </c>
      <c r="B510" s="119" t="s">
        <v>1216</v>
      </c>
      <c r="C510" s="115"/>
      <c r="D510" s="123" t="str">
        <f>IF(Kielivalinta="","",IF(Kielivalinta="Suomi",_xlfn.IFNA(VLOOKUP($A510,Data!$A$2:$C$612,2,FALSE),0),IF(Kielivalinta="Svenska",_xlfn.IFNA(VLOOKUP($B510,Data!$A$2:$C$612,2,FALSE),0))))</f>
        <v/>
      </c>
      <c r="E510" s="123" t="str">
        <f>IF(Kielivalinta="","",IF(Kielivalinta="Suomi",_xlfn.IFNA(VLOOKUP($A510,Data!$A$2:$C$612,3,FALSE),0),IF(Kielivalinta="Svenska",_xlfn.IFNA(VLOOKUP($B510,Data!$A$2:$C$612,3,FALSE),0))))</f>
        <v/>
      </c>
      <c r="F510" s="119" t="s">
        <v>665</v>
      </c>
      <c r="G510" s="146" t="str">
        <f t="shared" si="26"/>
        <v/>
      </c>
      <c r="H510" s="146" t="str">
        <f t="shared" si="26"/>
        <v/>
      </c>
      <c r="I510" s="119"/>
      <c r="J510" s="119"/>
      <c r="Q510" s="119"/>
      <c r="R510" s="119"/>
      <c r="S510" s="119"/>
      <c r="T510" s="119"/>
      <c r="U510" s="119"/>
      <c r="V510" s="119"/>
      <c r="W510" s="119"/>
    </row>
    <row r="511" spans="1:23" x14ac:dyDescent="0.2">
      <c r="A511" s="122" t="s">
        <v>518</v>
      </c>
      <c r="B511" s="122" t="s">
        <v>1217</v>
      </c>
      <c r="C511" s="115"/>
      <c r="D511" s="123" t="str">
        <f>IF(Kielivalinta="","",IF(Kielivalinta="Suomi",_xlfn.IFNA(VLOOKUP($A511,Data!$A$2:$C$612,2,FALSE),0),IF(Kielivalinta="Svenska",_xlfn.IFNA(VLOOKUP($B511,Data!$A$2:$C$612,2,FALSE),0))))</f>
        <v/>
      </c>
      <c r="E511" s="123" t="str">
        <f>IF(Kielivalinta="","",IF(Kielivalinta="Suomi",_xlfn.IFNA(VLOOKUP($A511,Data!$A$2:$C$612,3,FALSE),0),IF(Kielivalinta="Svenska",_xlfn.IFNA(VLOOKUP($B511,Data!$A$2:$C$612,3,FALSE),0))))</f>
        <v/>
      </c>
      <c r="F511" s="122" t="str">
        <f>IF(Kielivalinta="","",IF(Kielivalinta="Suomi","E-kirjat",IF(Kielivalinta="Svenska","E-böcker")))</f>
        <v/>
      </c>
      <c r="G511" s="146" t="str">
        <f t="shared" si="26"/>
        <v/>
      </c>
      <c r="H511" s="146" t="str">
        <f t="shared" si="26"/>
        <v/>
      </c>
      <c r="I511" s="119"/>
      <c r="J511" s="119"/>
      <c r="Q511" s="122"/>
      <c r="R511" s="119"/>
      <c r="S511" s="119"/>
      <c r="T511" s="119"/>
      <c r="U511" s="119"/>
      <c r="V511" s="119"/>
      <c r="W511" s="119"/>
    </row>
    <row r="512" spans="1:23" x14ac:dyDescent="0.2">
      <c r="A512" s="119" t="s">
        <v>519</v>
      </c>
      <c r="B512" s="119" t="s">
        <v>1218</v>
      </c>
      <c r="C512" s="115"/>
      <c r="D512" s="123" t="str">
        <f>IF(Kielivalinta="","",IF(Kielivalinta="Suomi",_xlfn.IFNA(VLOOKUP($A512,Data!$A$2:$C$612,2,FALSE),0),IF(Kielivalinta="Svenska",_xlfn.IFNA(VLOOKUP($B512,Data!$A$2:$C$612,2,FALSE),0))))</f>
        <v/>
      </c>
      <c r="E512" s="123" t="str">
        <f>IF(Kielivalinta="","",IF(Kielivalinta="Suomi",_xlfn.IFNA(VLOOKUP($A512,Data!$A$2:$C$612,3,FALSE),0),IF(Kielivalinta="Svenska",_xlfn.IFNA(VLOOKUP($B512,Data!$A$2:$C$612,3,FALSE),0))))</f>
        <v/>
      </c>
      <c r="F512" s="122" t="str">
        <f>IF(Kielivalinta="","",IF(Kielivalinta="Suomi","Muu e-aineisto",IF(Kielivalinta="Svenska","Övrigt e-material")))</f>
        <v/>
      </c>
      <c r="G512" s="146" t="str">
        <f t="shared" si="26"/>
        <v/>
      </c>
      <c r="H512" s="146" t="str">
        <f t="shared" si="26"/>
        <v/>
      </c>
      <c r="I512" s="119"/>
      <c r="J512" s="119"/>
      <c r="Q512" s="119"/>
      <c r="R512" s="119"/>
      <c r="S512" s="119"/>
      <c r="T512" s="119"/>
      <c r="U512" s="119"/>
      <c r="V512" s="119"/>
      <c r="W512" s="119"/>
    </row>
    <row r="513" spans="1:23" x14ac:dyDescent="0.2">
      <c r="A513" s="119" t="s">
        <v>520</v>
      </c>
      <c r="B513" s="119" t="s">
        <v>985</v>
      </c>
      <c r="C513" s="115"/>
      <c r="D513" s="123" t="str">
        <f>IF(Kielivalinta="","",IF(Kielivalinta="Suomi",_xlfn.IFNA(VLOOKUP($A513,Data!$A$2:$C$612,2,FALSE),0),IF(Kielivalinta="Svenska",_xlfn.IFNA(VLOOKUP($B513,Data!$A$2:$C$612,2,FALSE),0))))</f>
        <v/>
      </c>
      <c r="E513" s="123" t="str">
        <f>IF(Kielivalinta="","",IF(Kielivalinta="Suomi",_xlfn.IFNA(VLOOKUP($A513,Data!$A$2:$C$612,3,FALSE),0),IF(Kielivalinta="Svenska",_xlfn.IFNA(VLOOKUP($B513,Data!$A$2:$C$612,3,FALSE),0))))</f>
        <v/>
      </c>
      <c r="F513" s="122" t="str">
        <f>IF(Kielivalinta="","",IF(Kielivalinta="Suomi","Muu aineisto",IF(Kielivalinta="Svenska","Övrigt material")))</f>
        <v/>
      </c>
      <c r="G513" s="121" t="str">
        <f t="shared" si="26"/>
        <v/>
      </c>
      <c r="H513" s="121" t="str">
        <f t="shared" si="26"/>
        <v/>
      </c>
      <c r="I513" s="119"/>
      <c r="J513" s="119"/>
      <c r="Q513" s="119"/>
      <c r="R513" s="119"/>
      <c r="S513" s="119"/>
      <c r="T513" s="119"/>
      <c r="U513" s="119"/>
      <c r="V513" s="119"/>
      <c r="W513" s="119"/>
    </row>
    <row r="514" spans="1:23" x14ac:dyDescent="0.2">
      <c r="A514" s="119" t="s">
        <v>521</v>
      </c>
      <c r="B514" s="119" t="s">
        <v>1219</v>
      </c>
      <c r="C514" s="115"/>
      <c r="D514" s="123" t="str">
        <f>IF(Kielivalinta="","",IF(Kielivalinta="Suomi",_xlfn.IFNA(VLOOKUP($A514,Data!$A$2:$C$612,2,FALSE),0),IF(Kielivalinta="Svenska",_xlfn.IFNA(VLOOKUP($B514,Data!$A$2:$C$612,2,FALSE),0))))</f>
        <v/>
      </c>
      <c r="E514" s="123" t="str">
        <f>IF(Kielivalinta="","",IF(Kielivalinta="Suomi",_xlfn.IFNA(VLOOKUP($A514,Data!$A$2:$C$612,3,FALSE),0),IF(Kielivalinta="Svenska",_xlfn.IFNA(VLOOKUP($B514,Data!$A$2:$C$612,3,FALSE),0))))</f>
        <v/>
      </c>
      <c r="F514" s="137" t="str">
        <f>IF(Kielivalinta="","",IF(Kielivalinta="Suomi","Yhteensä",IF(Kielivalinta="Svenska","Tillsammans")))</f>
        <v/>
      </c>
      <c r="G514" s="147">
        <f>SUM(G506:G513)</f>
        <v>0</v>
      </c>
      <c r="H514" s="147">
        <f>SUM(H506:H513)</f>
        <v>0</v>
      </c>
      <c r="I514" s="119"/>
      <c r="J514" s="119"/>
      <c r="Q514" s="119"/>
      <c r="R514" s="119"/>
      <c r="S514" s="119"/>
      <c r="T514" s="119"/>
      <c r="U514" s="119"/>
      <c r="V514" s="119"/>
      <c r="W514" s="119"/>
    </row>
    <row r="515" spans="1:23" x14ac:dyDescent="0.2">
      <c r="A515" s="119" t="s">
        <v>522</v>
      </c>
      <c r="B515" s="119" t="s">
        <v>1220</v>
      </c>
      <c r="C515" s="115"/>
      <c r="D515" s="123" t="str">
        <f>IF(Kielivalinta="","",IF(Kielivalinta="Suomi",_xlfn.IFNA(VLOOKUP($A515,Data!$A$2:$C$612,2,FALSE),0),IF(Kielivalinta="Svenska",_xlfn.IFNA(VLOOKUP($B515,Data!$A$2:$C$612,2,FALSE),0))))</f>
        <v/>
      </c>
      <c r="E515" s="123" t="str">
        <f>IF(Kielivalinta="","",IF(Kielivalinta="Suomi",_xlfn.IFNA(VLOOKUP($A515,Data!$A$2:$C$612,3,FALSE),0),IF(Kielivalinta="Svenska",_xlfn.IFNA(VLOOKUP($B515,Data!$A$2:$C$612,3,FALSE),0))))</f>
        <v/>
      </c>
      <c r="F515" s="119"/>
      <c r="G515" s="119"/>
      <c r="H515" s="119"/>
      <c r="I515" s="119"/>
      <c r="J515" s="119"/>
      <c r="Q515" s="119"/>
      <c r="R515" s="119"/>
      <c r="S515" s="119"/>
      <c r="T515" s="119"/>
      <c r="U515" s="119"/>
      <c r="V515" s="119"/>
      <c r="W515" s="119"/>
    </row>
    <row r="516" spans="1:23" x14ac:dyDescent="0.2">
      <c r="A516" s="122" t="s">
        <v>523</v>
      </c>
      <c r="B516" s="122" t="s">
        <v>1221</v>
      </c>
      <c r="C516" s="115"/>
      <c r="D516" s="123" t="str">
        <f>IF(Kielivalinta="","",IF(Kielivalinta="Suomi",_xlfn.IFNA(VLOOKUP($A516,Data!$A$2:$C$612,2,FALSE),0),IF(Kielivalinta="Svenska",_xlfn.IFNA(VLOOKUP($B516,Data!$A$2:$C$612,2,FALSE),0))))</f>
        <v/>
      </c>
      <c r="E516" s="123" t="str">
        <f>IF(Kielivalinta="","",IF(Kielivalinta="Suomi",_xlfn.IFNA(VLOOKUP($A516,Data!$A$2:$C$612,3,FALSE),0),IF(Kielivalinta="Svenska",_xlfn.IFNA(VLOOKUP($B516,Data!$A$2:$C$612,3,FALSE),0))))</f>
        <v/>
      </c>
      <c r="F516" s="119"/>
      <c r="G516" s="119"/>
      <c r="H516" s="119"/>
      <c r="I516" s="119"/>
      <c r="J516" s="119"/>
      <c r="Q516" s="122"/>
      <c r="R516" s="119"/>
      <c r="S516" s="119"/>
      <c r="T516" s="119"/>
      <c r="U516" s="119"/>
      <c r="V516" s="119"/>
      <c r="W516" s="119"/>
    </row>
    <row r="517" spans="1:23" x14ac:dyDescent="0.2">
      <c r="A517" s="119" t="s">
        <v>524</v>
      </c>
      <c r="B517" s="119" t="s">
        <v>1222</v>
      </c>
      <c r="C517" s="115"/>
      <c r="D517" s="123" t="str">
        <f>IF(Kielivalinta="","",IF(Kielivalinta="Suomi",_xlfn.IFNA(VLOOKUP($A517,Data!$A$2:$C$612,2,FALSE),0),IF(Kielivalinta="Svenska",_xlfn.IFNA(VLOOKUP($B517,Data!$A$2:$C$612,2,FALSE),0))))</f>
        <v/>
      </c>
      <c r="E517" s="123" t="str">
        <f>IF(Kielivalinta="","",IF(Kielivalinta="Suomi",_xlfn.IFNA(VLOOKUP($A517,Data!$A$2:$C$612,3,FALSE),0),IF(Kielivalinta="Svenska",_xlfn.IFNA(VLOOKUP($B517,Data!$A$2:$C$612,3,FALSE),0))))</f>
        <v/>
      </c>
      <c r="F517" s="119"/>
      <c r="G517" s="119"/>
      <c r="H517" s="119"/>
      <c r="I517" s="119"/>
      <c r="J517" s="119"/>
      <c r="Q517" s="119"/>
      <c r="R517" s="119"/>
      <c r="S517" s="119"/>
      <c r="T517" s="119"/>
      <c r="U517" s="119"/>
      <c r="V517" s="119"/>
      <c r="W517" s="119"/>
    </row>
    <row r="518" spans="1:23" x14ac:dyDescent="0.2">
      <c r="A518" s="119" t="s">
        <v>525</v>
      </c>
      <c r="B518" s="119" t="s">
        <v>1223</v>
      </c>
      <c r="C518" s="115"/>
      <c r="D518" s="123" t="str">
        <f>IF(Kielivalinta="","",IF(Kielivalinta="Suomi",_xlfn.IFNA(VLOOKUP($A518,Data!$A$2:$C$612,2,FALSE),0),IF(Kielivalinta="Svenska",_xlfn.IFNA(VLOOKUP($B518,Data!$A$2:$C$612,2,FALSE),0))))</f>
        <v/>
      </c>
      <c r="E518" s="123" t="str">
        <f>IF(Kielivalinta="","",IF(Kielivalinta="Suomi",_xlfn.IFNA(VLOOKUP($A518,Data!$A$2:$C$612,3,FALSE),0),IF(Kielivalinta="Svenska",_xlfn.IFNA(VLOOKUP($B518,Data!$A$2:$C$612,3,FALSE),0))))</f>
        <v/>
      </c>
      <c r="F518" s="119"/>
      <c r="G518" s="119"/>
      <c r="H518" s="119"/>
      <c r="I518" s="119"/>
      <c r="J518" s="119"/>
      <c r="Q518" s="119"/>
      <c r="R518" s="119"/>
      <c r="S518" s="119"/>
      <c r="T518" s="119"/>
      <c r="U518" s="119"/>
      <c r="V518" s="119"/>
      <c r="W518" s="119"/>
    </row>
    <row r="519" spans="1:23" x14ac:dyDescent="0.2">
      <c r="A519" s="119" t="s">
        <v>526</v>
      </c>
      <c r="B519" s="119" t="s">
        <v>1224</v>
      </c>
      <c r="C519" s="115"/>
      <c r="D519" s="123" t="str">
        <f>IF(Kielivalinta="","",IF(Kielivalinta="Suomi",_xlfn.IFNA(VLOOKUP($A519,Data!$A$2:$C$612,2,FALSE),0),IF(Kielivalinta="Svenska",_xlfn.IFNA(VLOOKUP($B519,Data!$A$2:$C$612,2,FALSE),0))))</f>
        <v/>
      </c>
      <c r="E519" s="123" t="str">
        <f>IF(Kielivalinta="","",IF(Kielivalinta="Suomi",_xlfn.IFNA(VLOOKUP($A519,Data!$A$2:$C$612,3,FALSE),0),IF(Kielivalinta="Svenska",_xlfn.IFNA(VLOOKUP($B519,Data!$A$2:$C$612,3,FALSE),0))))</f>
        <v/>
      </c>
      <c r="F519" s="119"/>
      <c r="G519" s="119"/>
      <c r="H519" s="119"/>
      <c r="I519" s="119"/>
      <c r="J519" s="119"/>
      <c r="Q519" s="119"/>
      <c r="R519" s="119"/>
      <c r="S519" s="119"/>
      <c r="T519" s="119"/>
      <c r="U519" s="119"/>
      <c r="V519" s="119"/>
      <c r="W519" s="119"/>
    </row>
    <row r="520" spans="1:23" x14ac:dyDescent="0.2">
      <c r="A520" s="119" t="s">
        <v>527</v>
      </c>
      <c r="B520" s="119" t="s">
        <v>1225</v>
      </c>
      <c r="C520" s="115"/>
      <c r="D520" s="123" t="str">
        <f>IF(Kielivalinta="","",IF(Kielivalinta="Suomi",_xlfn.IFNA(VLOOKUP($A520,Data!$A$2:$C$612,2,FALSE),0),IF(Kielivalinta="Svenska",_xlfn.IFNA(VLOOKUP($B520,Data!$A$2:$C$612,2,FALSE),0))))</f>
        <v/>
      </c>
      <c r="E520" s="123" t="str">
        <f>IF(Kielivalinta="","",IF(Kielivalinta="Suomi",_xlfn.IFNA(VLOOKUP($A520,Data!$A$2:$C$612,3,FALSE),0),IF(Kielivalinta="Svenska",_xlfn.IFNA(VLOOKUP($B520,Data!$A$2:$C$612,3,FALSE),0))))</f>
        <v/>
      </c>
      <c r="F520" s="119"/>
      <c r="G520" s="119"/>
      <c r="H520" s="119"/>
      <c r="I520" s="119"/>
      <c r="J520" s="119"/>
      <c r="Q520" s="119"/>
      <c r="R520" s="119"/>
      <c r="S520" s="119"/>
      <c r="T520" s="119"/>
      <c r="U520" s="119"/>
      <c r="V520" s="119"/>
      <c r="W520" s="119"/>
    </row>
    <row r="521" spans="1:23" x14ac:dyDescent="0.2">
      <c r="A521" s="119" t="s">
        <v>528</v>
      </c>
      <c r="B521" s="119" t="s">
        <v>1226</v>
      </c>
      <c r="C521" s="115"/>
      <c r="D521" s="123" t="str">
        <f>IF(Kielivalinta="","",IF(Kielivalinta="Suomi",_xlfn.IFNA(VLOOKUP($A521,Data!$A$2:$C$612,2,FALSE),0),IF(Kielivalinta="Svenska",_xlfn.IFNA(VLOOKUP($B521,Data!$A$2:$C$612,2,FALSE),0))))</f>
        <v/>
      </c>
      <c r="E521" s="123" t="str">
        <f>IF(Kielivalinta="","",IF(Kielivalinta="Suomi",_xlfn.IFNA(VLOOKUP($A521,Data!$A$2:$C$612,3,FALSE),0),IF(Kielivalinta="Svenska",_xlfn.IFNA(VLOOKUP($B521,Data!$A$2:$C$612,3,FALSE),0))))</f>
        <v/>
      </c>
      <c r="F521" s="119"/>
      <c r="G521" s="119"/>
      <c r="H521" s="119"/>
      <c r="I521" s="119"/>
      <c r="J521" s="119"/>
      <c r="Q521" s="119"/>
      <c r="R521" s="119"/>
      <c r="S521" s="119"/>
      <c r="T521" s="119"/>
      <c r="U521" s="119"/>
      <c r="V521" s="119"/>
      <c r="W521" s="119"/>
    </row>
    <row r="522" spans="1:23" x14ac:dyDescent="0.2">
      <c r="A522" s="119" t="s">
        <v>529</v>
      </c>
      <c r="B522" s="119" t="s">
        <v>1227</v>
      </c>
      <c r="C522" s="115"/>
      <c r="D522" s="123" t="str">
        <f>IF(Kielivalinta="","",IF(Kielivalinta="Suomi",_xlfn.IFNA(VLOOKUP($A522,Data!$A$2:$C$612,2,FALSE),0),IF(Kielivalinta="Svenska",_xlfn.IFNA(VLOOKUP($B522,Data!$A$2:$C$612,2,FALSE),0))))</f>
        <v/>
      </c>
      <c r="E522" s="123" t="str">
        <f>IF(Kielivalinta="","",IF(Kielivalinta="Suomi",_xlfn.IFNA(VLOOKUP($A522,Data!$A$2:$C$612,3,FALSE),0),IF(Kielivalinta="Svenska",_xlfn.IFNA(VLOOKUP($B522,Data!$A$2:$C$612,3,FALSE),0))))</f>
        <v/>
      </c>
      <c r="F522" s="119"/>
      <c r="G522" s="119"/>
      <c r="H522" s="119"/>
      <c r="I522" s="119"/>
      <c r="J522" s="119"/>
      <c r="Q522" s="119"/>
      <c r="R522" s="119"/>
      <c r="S522" s="119"/>
      <c r="T522" s="119"/>
      <c r="U522" s="119"/>
      <c r="V522" s="119"/>
      <c r="W522" s="119"/>
    </row>
    <row r="523" spans="1:23" x14ac:dyDescent="0.2">
      <c r="A523" s="119" t="s">
        <v>530</v>
      </c>
      <c r="B523" s="119" t="s">
        <v>1228</v>
      </c>
      <c r="C523" s="115"/>
      <c r="D523" s="123" t="str">
        <f>IF(Kielivalinta="","",IF(Kielivalinta="Suomi",_xlfn.IFNA(VLOOKUP($A523,Data!$A$2:$C$612,2,FALSE),0),IF(Kielivalinta="Svenska",_xlfn.IFNA(VLOOKUP($B523,Data!$A$2:$C$612,2,FALSE),0))))</f>
        <v/>
      </c>
      <c r="E523" s="123" t="str">
        <f>IF(Kielivalinta="","",IF(Kielivalinta="Suomi",_xlfn.IFNA(VLOOKUP($A523,Data!$A$2:$C$612,3,FALSE),0),IF(Kielivalinta="Svenska",_xlfn.IFNA(VLOOKUP($B523,Data!$A$2:$C$612,3,FALSE),0))))</f>
        <v/>
      </c>
      <c r="F523" s="119"/>
      <c r="G523" s="119"/>
      <c r="H523" s="119"/>
      <c r="I523" s="119"/>
      <c r="J523" s="119"/>
      <c r="Q523" s="119"/>
      <c r="R523" s="119"/>
      <c r="S523" s="119"/>
      <c r="T523" s="119"/>
      <c r="U523" s="119"/>
      <c r="V523" s="119"/>
      <c r="W523" s="119"/>
    </row>
    <row r="524" spans="1:23" x14ac:dyDescent="0.2">
      <c r="A524" s="119" t="s">
        <v>531</v>
      </c>
      <c r="B524" s="119" t="s">
        <v>1229</v>
      </c>
      <c r="C524" s="115"/>
      <c r="D524" s="123" t="str">
        <f>IF(Kielivalinta="","",IF(Kielivalinta="Suomi",_xlfn.IFNA(VLOOKUP($A524,Data!$A$2:$C$612,2,FALSE),0),IF(Kielivalinta="Svenska",_xlfn.IFNA(VLOOKUP($B524,Data!$A$2:$C$612,2,FALSE),0))))</f>
        <v/>
      </c>
      <c r="E524" s="123" t="str">
        <f>IF(Kielivalinta="","",IF(Kielivalinta="Suomi",_xlfn.IFNA(VLOOKUP($A524,Data!$A$2:$C$612,3,FALSE),0),IF(Kielivalinta="Svenska",_xlfn.IFNA(VLOOKUP($B524,Data!$A$2:$C$612,3,FALSE),0))))</f>
        <v/>
      </c>
      <c r="F524" s="119"/>
      <c r="G524" s="119"/>
      <c r="H524" s="119"/>
      <c r="I524" s="119"/>
      <c r="J524" s="119"/>
      <c r="Q524" s="119"/>
      <c r="R524" s="119"/>
      <c r="S524" s="119"/>
      <c r="T524" s="119"/>
      <c r="U524" s="119"/>
      <c r="V524" s="119"/>
      <c r="W524" s="119"/>
    </row>
    <row r="525" spans="1:23" x14ac:dyDescent="0.2">
      <c r="A525" s="119" t="s">
        <v>532</v>
      </c>
      <c r="B525" s="119" t="s">
        <v>1230</v>
      </c>
      <c r="C525" s="115"/>
      <c r="D525" s="123" t="str">
        <f>IF(Kielivalinta="","",IF(Kielivalinta="Suomi",_xlfn.IFNA(VLOOKUP($A525,Data!$A$2:$C$612,2,FALSE),0),IF(Kielivalinta="Svenska",_xlfn.IFNA(VLOOKUP($B525,Data!$A$2:$C$612,2,FALSE),0))))</f>
        <v/>
      </c>
      <c r="E525" s="123" t="str">
        <f>IF(Kielivalinta="","",IF(Kielivalinta="Suomi",_xlfn.IFNA(VLOOKUP($A525,Data!$A$2:$C$612,3,FALSE),0),IF(Kielivalinta="Svenska",_xlfn.IFNA(VLOOKUP($B525,Data!$A$2:$C$612,3,FALSE),0))))</f>
        <v/>
      </c>
      <c r="F525" s="119"/>
      <c r="G525" s="119"/>
      <c r="H525" s="119"/>
      <c r="I525" s="119"/>
      <c r="J525" s="119"/>
      <c r="Q525" s="119"/>
      <c r="R525" s="119"/>
      <c r="S525" s="119"/>
      <c r="T525" s="119"/>
      <c r="U525" s="119"/>
      <c r="V525" s="119"/>
      <c r="W525" s="119"/>
    </row>
    <row r="526" spans="1:23" x14ac:dyDescent="0.2">
      <c r="A526" s="119" t="s">
        <v>533</v>
      </c>
      <c r="B526" s="119" t="s">
        <v>1231</v>
      </c>
      <c r="C526" s="115"/>
      <c r="D526" s="123" t="str">
        <f>IF(Kielivalinta="","",IF(Kielivalinta="Suomi",_xlfn.IFNA(VLOOKUP($A526,Data!$A$2:$C$612,2,FALSE),0),IF(Kielivalinta="Svenska",_xlfn.IFNA(VLOOKUP($B526,Data!$A$2:$C$612,2,FALSE),0))))</f>
        <v/>
      </c>
      <c r="E526" s="123" t="str">
        <f>IF(Kielivalinta="","",IF(Kielivalinta="Suomi",_xlfn.IFNA(VLOOKUP($A526,Data!$A$2:$C$612,3,FALSE),0),IF(Kielivalinta="Svenska",_xlfn.IFNA(VLOOKUP($B526,Data!$A$2:$C$612,3,FALSE),0))))</f>
        <v/>
      </c>
      <c r="F526" s="119"/>
      <c r="G526" s="119"/>
      <c r="H526" s="119"/>
      <c r="I526" s="119"/>
      <c r="J526" s="119"/>
      <c r="Q526" s="119"/>
      <c r="R526" s="119"/>
      <c r="S526" s="119"/>
      <c r="T526" s="119"/>
      <c r="U526" s="119"/>
      <c r="V526" s="119"/>
      <c r="W526" s="119"/>
    </row>
    <row r="527" spans="1:23" x14ac:dyDescent="0.2">
      <c r="A527" s="119" t="s">
        <v>534</v>
      </c>
      <c r="B527" s="119" t="s">
        <v>986</v>
      </c>
      <c r="C527" s="115"/>
      <c r="D527" s="123" t="str">
        <f>IF(Kielivalinta="","",IF(Kielivalinta="Suomi",_xlfn.IFNA(VLOOKUP($A527,Data!$A$2:$C$612,2,FALSE),0),IF(Kielivalinta="Svenska",_xlfn.IFNA(VLOOKUP($B527,Data!$A$2:$C$612,2,FALSE),0))))</f>
        <v/>
      </c>
      <c r="E527" s="123" t="str">
        <f>IF(Kielivalinta="","",IF(Kielivalinta="Suomi",_xlfn.IFNA(VLOOKUP($A527,Data!$A$2:$C$612,3,FALSE),0),IF(Kielivalinta="Svenska",_xlfn.IFNA(VLOOKUP($B527,Data!$A$2:$C$612,3,FALSE),0))))</f>
        <v/>
      </c>
      <c r="F527" s="119"/>
      <c r="G527" s="119"/>
      <c r="H527" s="119"/>
      <c r="I527" s="119"/>
      <c r="J527" s="119"/>
      <c r="Q527" s="119"/>
      <c r="R527" s="119"/>
      <c r="S527" s="119"/>
      <c r="T527" s="119"/>
      <c r="U527" s="119"/>
      <c r="V527" s="119"/>
      <c r="W527" s="119"/>
    </row>
    <row r="528" spans="1:23" x14ac:dyDescent="0.2">
      <c r="A528" s="119" t="s">
        <v>535</v>
      </c>
      <c r="B528" s="119" t="s">
        <v>987</v>
      </c>
      <c r="C528" s="115"/>
      <c r="D528" s="123" t="str">
        <f>IF(Kielivalinta="","",IF(Kielivalinta="Suomi",_xlfn.IFNA(VLOOKUP($A528,Data!$A$2:$C$612,2,FALSE),0),IF(Kielivalinta="Svenska",_xlfn.IFNA(VLOOKUP($B528,Data!$A$2:$C$612,2,FALSE),0))))</f>
        <v/>
      </c>
      <c r="E528" s="123" t="str">
        <f>IF(Kielivalinta="","",IF(Kielivalinta="Suomi",_xlfn.IFNA(VLOOKUP($A528,Data!$A$2:$C$612,3,FALSE),0),IF(Kielivalinta="Svenska",_xlfn.IFNA(VLOOKUP($B528,Data!$A$2:$C$612,3,FALSE),0))))</f>
        <v/>
      </c>
      <c r="F528" s="119"/>
      <c r="G528" s="119"/>
      <c r="H528" s="119"/>
      <c r="I528" s="119"/>
      <c r="J528" s="119"/>
      <c r="Q528" s="119"/>
      <c r="R528" s="119"/>
      <c r="S528" s="119"/>
      <c r="T528" s="119"/>
      <c r="U528" s="119"/>
      <c r="V528" s="119"/>
      <c r="W528" s="119"/>
    </row>
    <row r="529" spans="1:23" x14ac:dyDescent="0.2">
      <c r="A529" s="119" t="s">
        <v>536</v>
      </c>
      <c r="B529" s="119" t="s">
        <v>988</v>
      </c>
      <c r="C529" s="115"/>
      <c r="D529" s="123" t="str">
        <f>IF(Kielivalinta="","",IF(Kielivalinta="Suomi",_xlfn.IFNA(VLOOKUP($A529,Data!$A$2:$C$612,2,FALSE),0),IF(Kielivalinta="Svenska",_xlfn.IFNA(VLOOKUP($B529,Data!$A$2:$C$612,2,FALSE),0))))</f>
        <v/>
      </c>
      <c r="E529" s="123" t="str">
        <f>IF(Kielivalinta="","",IF(Kielivalinta="Suomi",_xlfn.IFNA(VLOOKUP($A529,Data!$A$2:$C$612,3,FALSE),0),IF(Kielivalinta="Svenska",_xlfn.IFNA(VLOOKUP($B529,Data!$A$2:$C$612,3,FALSE),0))))</f>
        <v/>
      </c>
      <c r="F529" s="119"/>
      <c r="G529" s="119"/>
      <c r="H529" s="119"/>
      <c r="I529" s="119"/>
      <c r="J529" s="119"/>
      <c r="Q529" s="119"/>
      <c r="R529" s="119"/>
      <c r="S529" s="119"/>
      <c r="T529" s="119"/>
      <c r="U529" s="119"/>
      <c r="V529" s="119"/>
      <c r="W529" s="119"/>
    </row>
    <row r="530" spans="1:23" x14ac:dyDescent="0.2">
      <c r="A530" s="122" t="s">
        <v>537</v>
      </c>
      <c r="B530" s="122" t="s">
        <v>989</v>
      </c>
      <c r="C530" s="115"/>
      <c r="D530" s="123" t="str">
        <f>IF(Kielivalinta="","",IF(Kielivalinta="Suomi",_xlfn.IFNA(VLOOKUP($A530,Data!$A$2:$C$612,2,FALSE),0),IF(Kielivalinta="Svenska",_xlfn.IFNA(VLOOKUP($B530,Data!$A$2:$C$612,2,FALSE),0))))</f>
        <v/>
      </c>
      <c r="E530" s="123" t="str">
        <f>IF(Kielivalinta="","",IF(Kielivalinta="Suomi",_xlfn.IFNA(VLOOKUP($A530,Data!$A$2:$C$612,3,FALSE),0),IF(Kielivalinta="Svenska",_xlfn.IFNA(VLOOKUP($B530,Data!$A$2:$C$612,3,FALSE),0))))</f>
        <v/>
      </c>
      <c r="F530" s="119"/>
      <c r="G530" s="119"/>
      <c r="H530" s="119"/>
      <c r="I530" s="119"/>
      <c r="J530" s="119"/>
      <c r="Q530" s="122"/>
      <c r="R530" s="119"/>
      <c r="S530" s="119"/>
      <c r="T530" s="119"/>
      <c r="U530" s="119"/>
      <c r="V530" s="119"/>
      <c r="W530" s="119"/>
    </row>
    <row r="531" spans="1:23" x14ac:dyDescent="0.2">
      <c r="A531" s="122" t="s">
        <v>538</v>
      </c>
      <c r="B531" s="122" t="s">
        <v>990</v>
      </c>
      <c r="C531" s="115"/>
      <c r="D531" s="123" t="str">
        <f>IF(Kielivalinta="","",IF(Kielivalinta="Suomi",_xlfn.IFNA(VLOOKUP($A531,Data!$A$2:$C$612,2,FALSE),0),IF(Kielivalinta="Svenska",_xlfn.IFNA(VLOOKUP($B531,Data!$A$2:$C$612,2,FALSE),0))))</f>
        <v/>
      </c>
      <c r="E531" s="123" t="str">
        <f>IF(Kielivalinta="","",IF(Kielivalinta="Suomi",_xlfn.IFNA(VLOOKUP($A531,Data!$A$2:$C$612,3,FALSE),0),IF(Kielivalinta="Svenska",_xlfn.IFNA(VLOOKUP($B531,Data!$A$2:$C$612,3,FALSE),0))))</f>
        <v/>
      </c>
      <c r="F531" s="119"/>
      <c r="G531" s="119"/>
      <c r="H531" s="119"/>
      <c r="I531" s="119"/>
      <c r="J531" s="119"/>
      <c r="Q531" s="122"/>
      <c r="R531" s="119"/>
      <c r="S531" s="119"/>
      <c r="T531" s="119"/>
      <c r="U531" s="119"/>
      <c r="V531" s="119"/>
      <c r="W531" s="119"/>
    </row>
    <row r="532" spans="1:23" x14ac:dyDescent="0.2">
      <c r="A532" s="122" t="s">
        <v>539</v>
      </c>
      <c r="B532" s="122" t="s">
        <v>991</v>
      </c>
      <c r="C532" s="115"/>
      <c r="D532" s="123" t="str">
        <f>IF(Kielivalinta="","",IF(Kielivalinta="Suomi",_xlfn.IFNA(VLOOKUP($A532,Data!$A$2:$C$612,2,FALSE),0),IF(Kielivalinta="Svenska",_xlfn.IFNA(VLOOKUP($B532,Data!$A$2:$C$612,2,FALSE),0))))</f>
        <v/>
      </c>
      <c r="E532" s="123" t="str">
        <f>IF(Kielivalinta="","",IF(Kielivalinta="Suomi",_xlfn.IFNA(VLOOKUP($A532,Data!$A$2:$C$612,3,FALSE),0),IF(Kielivalinta="Svenska",_xlfn.IFNA(VLOOKUP($B532,Data!$A$2:$C$612,3,FALSE),0))))</f>
        <v/>
      </c>
      <c r="F532" s="119"/>
      <c r="G532" s="119"/>
      <c r="H532" s="119"/>
      <c r="I532" s="119"/>
      <c r="J532" s="119"/>
      <c r="Q532" s="122"/>
      <c r="R532" s="119"/>
      <c r="S532" s="119"/>
      <c r="T532" s="119"/>
      <c r="U532" s="119"/>
      <c r="V532" s="119"/>
      <c r="W532" s="119"/>
    </row>
    <row r="533" spans="1:23" x14ac:dyDescent="0.2">
      <c r="A533" s="122" t="s">
        <v>540</v>
      </c>
      <c r="B533" s="122" t="s">
        <v>992</v>
      </c>
      <c r="C533" s="115"/>
      <c r="D533" s="123" t="str">
        <f>IF(Kielivalinta="","",IF(Kielivalinta="Suomi",_xlfn.IFNA(VLOOKUP($A533,Data!$A$2:$C$612,2,FALSE),0),IF(Kielivalinta="Svenska",_xlfn.IFNA(VLOOKUP($B533,Data!$A$2:$C$612,2,FALSE),0))))</f>
        <v/>
      </c>
      <c r="E533" s="123" t="str">
        <f>IF(Kielivalinta="","",IF(Kielivalinta="Suomi",_xlfn.IFNA(VLOOKUP($A533,Data!$A$2:$C$612,3,FALSE),0),IF(Kielivalinta="Svenska",_xlfn.IFNA(VLOOKUP($B533,Data!$A$2:$C$612,3,FALSE),0))))</f>
        <v/>
      </c>
      <c r="F533" s="119"/>
      <c r="G533" s="119"/>
      <c r="H533" s="119"/>
      <c r="I533" s="119"/>
      <c r="J533" s="119"/>
      <c r="Q533" s="122"/>
      <c r="R533" s="119"/>
      <c r="S533" s="119"/>
      <c r="T533" s="119"/>
      <c r="U533" s="119"/>
      <c r="V533" s="119"/>
      <c r="W533" s="119"/>
    </row>
    <row r="534" spans="1:23" x14ac:dyDescent="0.2">
      <c r="A534" s="122" t="s">
        <v>541</v>
      </c>
      <c r="B534" s="122" t="s">
        <v>1232</v>
      </c>
      <c r="C534" s="115"/>
      <c r="D534" s="123" t="str">
        <f>IF(Kielivalinta="","",IF(Kielivalinta="Suomi",_xlfn.IFNA(VLOOKUP($A534,Data!$A$2:$C$612,2,FALSE),0),IF(Kielivalinta="Svenska",_xlfn.IFNA(VLOOKUP($B534,Data!$A$2:$C$612,2,FALSE),0))))</f>
        <v/>
      </c>
      <c r="E534" s="123" t="str">
        <f>IF(Kielivalinta="","",IF(Kielivalinta="Suomi",_xlfn.IFNA(VLOOKUP($A534,Data!$A$2:$C$612,3,FALSE),0),IF(Kielivalinta="Svenska",_xlfn.IFNA(VLOOKUP($B534,Data!$A$2:$C$612,3,FALSE),0))))</f>
        <v/>
      </c>
      <c r="F534" s="119"/>
      <c r="G534" s="119"/>
      <c r="H534" s="119"/>
      <c r="I534" s="119"/>
      <c r="J534" s="119"/>
      <c r="Q534" s="122"/>
      <c r="R534" s="119"/>
      <c r="S534" s="119"/>
      <c r="T534" s="119"/>
      <c r="U534" s="119"/>
      <c r="V534" s="119"/>
      <c r="W534" s="119"/>
    </row>
    <row r="535" spans="1:23" x14ac:dyDescent="0.2">
      <c r="A535" s="122" t="s">
        <v>542</v>
      </c>
      <c r="B535" s="122" t="s">
        <v>993</v>
      </c>
      <c r="C535" s="115"/>
      <c r="D535" s="123" t="str">
        <f>IF(Kielivalinta="","",IF(Kielivalinta="Suomi",_xlfn.IFNA(VLOOKUP($A535,Data!$A$2:$C$612,2,FALSE),0),IF(Kielivalinta="Svenska",_xlfn.IFNA(VLOOKUP($B535,Data!$A$2:$C$612,2,FALSE),0))))</f>
        <v/>
      </c>
      <c r="E535" s="123" t="str">
        <f>IF(Kielivalinta="","",IF(Kielivalinta="Suomi",_xlfn.IFNA(VLOOKUP($A535,Data!$A$2:$C$612,3,FALSE),0),IF(Kielivalinta="Svenska",_xlfn.IFNA(VLOOKUP($B535,Data!$A$2:$C$612,3,FALSE),0))))</f>
        <v/>
      </c>
      <c r="F535" s="119"/>
      <c r="G535" s="119"/>
      <c r="H535" s="119"/>
      <c r="I535" s="119"/>
      <c r="J535" s="119"/>
      <c r="Q535" s="122"/>
      <c r="R535" s="119"/>
      <c r="S535" s="119"/>
      <c r="T535" s="119"/>
      <c r="U535" s="119"/>
      <c r="V535" s="119"/>
      <c r="W535" s="119"/>
    </row>
    <row r="536" spans="1:23" x14ac:dyDescent="0.2">
      <c r="A536" s="122" t="s">
        <v>543</v>
      </c>
      <c r="B536" s="122" t="s">
        <v>994</v>
      </c>
      <c r="C536" s="115"/>
      <c r="D536" s="123" t="str">
        <f>IF(Kielivalinta="","",IF(Kielivalinta="Suomi",_xlfn.IFNA(VLOOKUP($A536,Data!$A$2:$C$612,2,FALSE),0),IF(Kielivalinta="Svenska",_xlfn.IFNA(VLOOKUP($B536,Data!$A$2:$C$612,2,FALSE),0))))</f>
        <v/>
      </c>
      <c r="E536" s="123" t="str">
        <f>IF(Kielivalinta="","",IF(Kielivalinta="Suomi",_xlfn.IFNA(VLOOKUP($A536,Data!$A$2:$C$612,3,FALSE),0),IF(Kielivalinta="Svenska",_xlfn.IFNA(VLOOKUP($B536,Data!$A$2:$C$612,3,FALSE),0))))</f>
        <v/>
      </c>
      <c r="F536" s="119"/>
      <c r="G536" s="119"/>
      <c r="H536" s="119"/>
      <c r="I536" s="119"/>
      <c r="J536" s="119"/>
      <c r="Q536" s="122"/>
      <c r="R536" s="119"/>
      <c r="S536" s="119"/>
      <c r="T536" s="119"/>
      <c r="U536" s="119"/>
      <c r="V536" s="119"/>
      <c r="W536" s="119"/>
    </row>
    <row r="537" spans="1:23" x14ac:dyDescent="0.2">
      <c r="A537" s="119" t="s">
        <v>544</v>
      </c>
      <c r="B537" s="119" t="s">
        <v>1233</v>
      </c>
      <c r="C537" s="115"/>
      <c r="D537" s="123" t="str">
        <f>IF(Kielivalinta="","",IF(Kielivalinta="Suomi",_xlfn.IFNA(VLOOKUP($A537,Data!$A$2:$C$612,2,FALSE),0),IF(Kielivalinta="Svenska",_xlfn.IFNA(VLOOKUP($B537,Data!$A$2:$C$612,2,FALSE),0))))</f>
        <v/>
      </c>
      <c r="E537" s="123" t="str">
        <f>IF(Kielivalinta="","",IF(Kielivalinta="Suomi",_xlfn.IFNA(VLOOKUP($A537,Data!$A$2:$C$612,3,FALSE),0),IF(Kielivalinta="Svenska",_xlfn.IFNA(VLOOKUP($B537,Data!$A$2:$C$612,3,FALSE),0))))</f>
        <v/>
      </c>
      <c r="F537" s="119"/>
      <c r="G537" s="119"/>
      <c r="H537" s="119"/>
      <c r="I537" s="119"/>
      <c r="J537" s="119"/>
      <c r="Q537" s="119"/>
      <c r="R537" s="119"/>
      <c r="S537" s="119"/>
      <c r="T537" s="119"/>
      <c r="U537" s="119"/>
      <c r="V537" s="119"/>
      <c r="W537" s="119"/>
    </row>
    <row r="538" spans="1:23" x14ac:dyDescent="0.2">
      <c r="A538" s="122" t="s">
        <v>545</v>
      </c>
      <c r="B538" s="122" t="s">
        <v>995</v>
      </c>
      <c r="C538" s="115"/>
      <c r="D538" s="123" t="str">
        <f>IF(Kielivalinta="","",IF(Kielivalinta="Suomi",_xlfn.IFNA(VLOOKUP($A538,Data!$A$2:$C$612,2,FALSE),0),IF(Kielivalinta="Svenska",_xlfn.IFNA(VLOOKUP($B538,Data!$A$2:$C$612,2,FALSE),0))))</f>
        <v/>
      </c>
      <c r="E538" s="123" t="str">
        <f>IF(Kielivalinta="","",IF(Kielivalinta="Suomi",_xlfn.IFNA(VLOOKUP($A538,Data!$A$2:$C$612,3,FALSE),0),IF(Kielivalinta="Svenska",_xlfn.IFNA(VLOOKUP($B538,Data!$A$2:$C$612,3,FALSE),0))))</f>
        <v/>
      </c>
      <c r="F538" s="119"/>
      <c r="G538" s="119"/>
      <c r="H538" s="119"/>
      <c r="I538" s="119"/>
      <c r="J538" s="119"/>
      <c r="Q538" s="122"/>
      <c r="R538" s="119"/>
      <c r="S538" s="119"/>
      <c r="T538" s="119"/>
      <c r="U538" s="119"/>
      <c r="V538" s="119"/>
      <c r="W538" s="119"/>
    </row>
    <row r="539" spans="1:23" x14ac:dyDescent="0.2">
      <c r="A539" s="122" t="s">
        <v>546</v>
      </c>
      <c r="B539" s="122" t="s">
        <v>1234</v>
      </c>
      <c r="C539" s="115"/>
      <c r="D539" s="123" t="str">
        <f>IF(Kielivalinta="","",IF(Kielivalinta="Suomi",_xlfn.IFNA(VLOOKUP($A539,Data!$A$2:$C$612,2,FALSE),0),IF(Kielivalinta="Svenska",_xlfn.IFNA(VLOOKUP($B539,Data!$A$2:$C$612,2,FALSE),0))))</f>
        <v/>
      </c>
      <c r="E539" s="123" t="str">
        <f>IF(Kielivalinta="","",IF(Kielivalinta="Suomi",_xlfn.IFNA(VLOOKUP($A539,Data!$A$2:$C$612,3,FALSE),0),IF(Kielivalinta="Svenska",_xlfn.IFNA(VLOOKUP($B539,Data!$A$2:$C$612,3,FALSE),0))))</f>
        <v/>
      </c>
      <c r="F539" s="119"/>
      <c r="G539" s="119"/>
      <c r="H539" s="119"/>
      <c r="I539" s="119"/>
      <c r="J539" s="119"/>
      <c r="Q539" s="122"/>
      <c r="R539" s="119"/>
      <c r="S539" s="119"/>
      <c r="T539" s="119"/>
      <c r="U539" s="119"/>
      <c r="V539" s="119"/>
      <c r="W539" s="119"/>
    </row>
    <row r="540" spans="1:23" x14ac:dyDescent="0.2">
      <c r="A540" s="119" t="s">
        <v>547</v>
      </c>
      <c r="B540" s="119" t="s">
        <v>1235</v>
      </c>
      <c r="C540" s="115"/>
      <c r="D540" s="123" t="str">
        <f>IF(Kielivalinta="","",IF(Kielivalinta="Suomi",_xlfn.IFNA(VLOOKUP($A540,Data!$A$2:$C$612,2,FALSE),0),IF(Kielivalinta="Svenska",_xlfn.IFNA(VLOOKUP($B540,Data!$A$2:$C$612,2,FALSE),0))))</f>
        <v/>
      </c>
      <c r="E540" s="123" t="str">
        <f>IF(Kielivalinta="","",IF(Kielivalinta="Suomi",_xlfn.IFNA(VLOOKUP($A540,Data!$A$2:$C$612,3,FALSE),0),IF(Kielivalinta="Svenska",_xlfn.IFNA(VLOOKUP($B540,Data!$A$2:$C$612,3,FALSE),0))))</f>
        <v/>
      </c>
      <c r="F540" s="119"/>
      <c r="G540" s="119"/>
      <c r="H540" s="119"/>
      <c r="I540" s="119"/>
      <c r="J540" s="119"/>
      <c r="Q540" s="119"/>
      <c r="R540" s="119"/>
      <c r="S540" s="119"/>
      <c r="T540" s="119"/>
      <c r="U540" s="119"/>
      <c r="V540" s="119"/>
      <c r="W540" s="119"/>
    </row>
    <row r="541" spans="1:23" x14ac:dyDescent="0.2">
      <c r="A541" s="122" t="s">
        <v>548</v>
      </c>
      <c r="B541" s="122" t="s">
        <v>1236</v>
      </c>
      <c r="C541" s="115"/>
      <c r="D541" s="123" t="str">
        <f>IF(Kielivalinta="","",IF(Kielivalinta="Suomi",_xlfn.IFNA(VLOOKUP($A541,Data!$A$2:$C$612,2,FALSE),0),IF(Kielivalinta="Svenska",_xlfn.IFNA(VLOOKUP($B541,Data!$A$2:$C$612,2,FALSE),0))))</f>
        <v/>
      </c>
      <c r="E541" s="123" t="str">
        <f>IF(Kielivalinta="","",IF(Kielivalinta="Suomi",_xlfn.IFNA(VLOOKUP($A541,Data!$A$2:$C$612,3,FALSE),0),IF(Kielivalinta="Svenska",_xlfn.IFNA(VLOOKUP($B541,Data!$A$2:$C$612,3,FALSE),0))))</f>
        <v/>
      </c>
      <c r="F541" s="137" t="str">
        <f>IF(Kielivalinta="","",IF(Kielivalinta="Suomi","Rahoitus",IF(Kielivalinta="Svenska","Finansiering")))</f>
        <v/>
      </c>
      <c r="G541" s="119"/>
      <c r="H541" s="119"/>
      <c r="I541" s="119"/>
      <c r="J541" s="119"/>
      <c r="Q541" s="122"/>
      <c r="R541" s="119"/>
      <c r="S541" s="119"/>
      <c r="T541" s="119"/>
      <c r="U541" s="119"/>
      <c r="V541" s="119"/>
      <c r="W541" s="119"/>
    </row>
    <row r="542" spans="1:23" x14ac:dyDescent="0.2">
      <c r="A542" s="119" t="s">
        <v>549</v>
      </c>
      <c r="B542" s="119" t="s">
        <v>1237</v>
      </c>
      <c r="C542" s="115"/>
      <c r="D542" s="123" t="str">
        <f>IF(Kielivalinta="","",IF(Kielivalinta="Suomi",_xlfn.IFNA(VLOOKUP($A542,Data!$A$2:$C$612,2,FALSE),0),IF(Kielivalinta="Svenska",_xlfn.IFNA(VLOOKUP($B542,Data!$A$2:$C$612,2,FALSE),0))))</f>
        <v/>
      </c>
      <c r="E542" s="123" t="str">
        <f>IF(Kielivalinta="","",IF(Kielivalinta="Suomi",_xlfn.IFNA(VLOOKUP($A542,Data!$A$2:$C$612,3,FALSE),0),IF(Kielivalinta="Svenska",_xlfn.IFNA(VLOOKUP($B542,Data!$A$2:$C$612,3,FALSE),0))))</f>
        <v/>
      </c>
      <c r="F542" s="119"/>
      <c r="G542" s="139" t="str">
        <f>RIGHT(Data!$B$3,4)</f>
        <v/>
      </c>
      <c r="H542" s="139" t="str">
        <f>RIGHT(Data!$C$3,4)</f>
        <v/>
      </c>
      <c r="I542" s="119"/>
      <c r="J542" s="119"/>
      <c r="Q542" s="119"/>
      <c r="R542" s="119"/>
      <c r="S542" s="119"/>
      <c r="T542" s="119"/>
      <c r="U542" s="119"/>
      <c r="V542" s="119"/>
      <c r="W542" s="119"/>
    </row>
    <row r="543" spans="1:23" x14ac:dyDescent="0.2">
      <c r="A543" s="119" t="s">
        <v>550</v>
      </c>
      <c r="B543" s="119" t="s">
        <v>1238</v>
      </c>
      <c r="C543" s="115"/>
      <c r="D543" s="123" t="str">
        <f>IF(Kielivalinta="","",IF(Kielivalinta="Suomi",_xlfn.IFNA(VLOOKUP($A543,Data!$A$2:$C$612,2,FALSE),0),IF(Kielivalinta="Svenska",_xlfn.IFNA(VLOOKUP($B543,Data!$A$2:$C$612,2,FALSE),0))))</f>
        <v/>
      </c>
      <c r="E543" s="123" t="str">
        <f>IF(Kielivalinta="","",IF(Kielivalinta="Suomi",_xlfn.IFNA(VLOOKUP($A543,Data!$A$2:$C$612,3,FALSE),0),IF(Kielivalinta="Svenska",_xlfn.IFNA(VLOOKUP($B543,Data!$A$2:$C$612,3,FALSE),0))))</f>
        <v/>
      </c>
      <c r="F543" s="131" t="str">
        <f>IF(Kielivalinta="","",IF(Kielivalinta="Suomi","Kehysorganisaatio",IF(Kielivalinta="Svenska","Ramorganisation")))</f>
        <v/>
      </c>
      <c r="G543" s="121" t="str">
        <f>D540</f>
        <v/>
      </c>
      <c r="H543" s="121" t="str">
        <f>E540</f>
        <v/>
      </c>
      <c r="I543" s="119"/>
      <c r="J543" s="119"/>
      <c r="Q543" s="119"/>
      <c r="R543" s="119"/>
      <c r="S543" s="119"/>
      <c r="T543" s="119"/>
      <c r="U543" s="119"/>
      <c r="V543" s="119"/>
      <c r="W543" s="119"/>
    </row>
    <row r="544" spans="1:23" x14ac:dyDescent="0.2">
      <c r="A544" s="119" t="s">
        <v>551</v>
      </c>
      <c r="B544" s="119" t="s">
        <v>1239</v>
      </c>
      <c r="C544" s="115"/>
      <c r="D544" s="123" t="str">
        <f>IF(Kielivalinta="","",IF(Kielivalinta="Suomi",_xlfn.IFNA(VLOOKUP($A544,Data!$A$2:$C$612,2,FALSE),0),IF(Kielivalinta="Svenska",_xlfn.IFNA(VLOOKUP($B544,Data!$A$2:$C$612,2,FALSE),0))))</f>
        <v/>
      </c>
      <c r="E544" s="123" t="str">
        <f>IF(Kielivalinta="","",IF(Kielivalinta="Suomi",_xlfn.IFNA(VLOOKUP($A544,Data!$A$2:$C$612,3,FALSE),0),IF(Kielivalinta="Svenska",_xlfn.IFNA(VLOOKUP($B544,Data!$A$2:$C$612,3,FALSE),0))))</f>
        <v/>
      </c>
      <c r="F544" s="131" t="str">
        <f>IF(Kielivalinta="","",IF(Kielivalinta="Suomi","Muu julkinen",IF(Kielivalinta="Svenska","Övrig offentlig")))</f>
        <v/>
      </c>
      <c r="G544" s="121" t="str">
        <f>D544</f>
        <v/>
      </c>
      <c r="H544" s="121" t="str">
        <f>E544</f>
        <v/>
      </c>
      <c r="I544" s="119"/>
      <c r="J544" s="119"/>
      <c r="Q544" s="119"/>
      <c r="R544" s="119"/>
      <c r="S544" s="119"/>
      <c r="T544" s="119"/>
      <c r="U544" s="119"/>
      <c r="V544" s="119"/>
      <c r="W544" s="119"/>
    </row>
    <row r="545" spans="1:23" x14ac:dyDescent="0.2">
      <c r="A545" s="119" t="s">
        <v>552</v>
      </c>
      <c r="B545" s="119" t="s">
        <v>1240</v>
      </c>
      <c r="C545" s="115"/>
      <c r="D545" s="123" t="str">
        <f>IF(Kielivalinta="","",IF(Kielivalinta="Suomi",_xlfn.IFNA(VLOOKUP($A545,Data!$A$2:$C$612,2,FALSE),0),IF(Kielivalinta="Svenska",_xlfn.IFNA(VLOOKUP($B545,Data!$A$2:$C$612,2,FALSE),0))))</f>
        <v/>
      </c>
      <c r="E545" s="123" t="str">
        <f>IF(Kielivalinta="","",IF(Kielivalinta="Suomi",_xlfn.IFNA(VLOOKUP($A545,Data!$A$2:$C$612,3,FALSE),0),IF(Kielivalinta="Svenska",_xlfn.IFNA(VLOOKUP($B545,Data!$A$2:$C$612,3,FALSE),0))))</f>
        <v/>
      </c>
      <c r="F545" s="131" t="str">
        <f>IF(Kielivalinta="","",IF(Kielivalinta="Suomi","Maksull palvelutoim",IF(Kielivalinta="Svenska","Avgiftsbelagda tjänster")))</f>
        <v/>
      </c>
      <c r="G545" s="121" t="str">
        <f>D547</f>
        <v/>
      </c>
      <c r="H545" s="121" t="str">
        <f>E547</f>
        <v/>
      </c>
      <c r="I545" s="119"/>
      <c r="J545" s="119"/>
      <c r="Q545" s="119"/>
      <c r="R545" s="119"/>
      <c r="S545" s="119"/>
      <c r="T545" s="119"/>
      <c r="U545" s="119"/>
      <c r="V545" s="119"/>
      <c r="W545" s="119"/>
    </row>
    <row r="546" spans="1:23" x14ac:dyDescent="0.2">
      <c r="A546" s="119" t="s">
        <v>553</v>
      </c>
      <c r="B546" s="119" t="s">
        <v>1241</v>
      </c>
      <c r="C546" s="115"/>
      <c r="D546" s="123" t="str">
        <f>IF(Kielivalinta="","",IF(Kielivalinta="Suomi",_xlfn.IFNA(VLOOKUP($A546,Data!$A$2:$C$612,2,FALSE),0),IF(Kielivalinta="Svenska",_xlfn.IFNA(VLOOKUP($B546,Data!$A$2:$C$612,2,FALSE),0))))</f>
        <v/>
      </c>
      <c r="E546" s="123" t="str">
        <f>IF(Kielivalinta="","",IF(Kielivalinta="Suomi",_xlfn.IFNA(VLOOKUP($A546,Data!$A$2:$C$612,3,FALSE),0),IF(Kielivalinta="Svenska",_xlfn.IFNA(VLOOKUP($B546,Data!$A$2:$C$612,3,FALSE),0))))</f>
        <v/>
      </c>
      <c r="F546" s="131" t="str">
        <f>IF(Kielivalinta="","",IF(Kielivalinta="Suomi","Yhteisprojektit",IF(Kielivalinta="Svenska","Centraliserad")))</f>
        <v/>
      </c>
      <c r="G546" s="121" t="str">
        <f>D548</f>
        <v/>
      </c>
      <c r="H546" s="121" t="str">
        <f>E548</f>
        <v/>
      </c>
      <c r="I546" s="119"/>
      <c r="J546" s="119"/>
      <c r="Q546" s="119"/>
      <c r="R546" s="119"/>
      <c r="S546" s="119"/>
      <c r="T546" s="119"/>
      <c r="U546" s="119"/>
      <c r="V546" s="119"/>
      <c r="W546" s="119"/>
    </row>
    <row r="547" spans="1:23" x14ac:dyDescent="0.2">
      <c r="A547" s="119" t="s">
        <v>554</v>
      </c>
      <c r="B547" s="119" t="s">
        <v>1242</v>
      </c>
      <c r="C547" s="115"/>
      <c r="D547" s="123" t="str">
        <f>IF(Kielivalinta="","",IF(Kielivalinta="Suomi",_xlfn.IFNA(VLOOKUP($A547,Data!$A$2:$C$612,2,FALSE),0),IF(Kielivalinta="Svenska",_xlfn.IFNA(VLOOKUP($B547,Data!$A$2:$C$612,2,FALSE),0))))</f>
        <v/>
      </c>
      <c r="E547" s="123" t="str">
        <f>IF(Kielivalinta="","",IF(Kielivalinta="Suomi",_xlfn.IFNA(VLOOKUP($A547,Data!$A$2:$C$612,3,FALSE),0),IF(Kielivalinta="Svenska",_xlfn.IFNA(VLOOKUP($B547,Data!$A$2:$C$612,3,FALSE),0))))</f>
        <v/>
      </c>
      <c r="F547" s="131" t="str">
        <f>IF(Kielivalinta="","",IF(Kielivalinta="Suomi","Muu rahoitus",IF(Kielivalinta="Svenska","Övrig finansiering")))</f>
        <v/>
      </c>
      <c r="G547" s="121" t="str">
        <f>IFERROR(D546+D549,"")</f>
        <v/>
      </c>
      <c r="H547" s="121" t="str">
        <f>IFERROR(E546+E549,"")</f>
        <v/>
      </c>
      <c r="I547" s="119"/>
      <c r="J547" s="119"/>
      <c r="Q547" s="119"/>
      <c r="R547" s="119"/>
      <c r="S547" s="119"/>
      <c r="T547" s="119"/>
      <c r="U547" s="119"/>
      <c r="V547" s="119"/>
      <c r="W547" s="119"/>
    </row>
    <row r="548" spans="1:23" x14ac:dyDescent="0.2">
      <c r="A548" s="119" t="s">
        <v>555</v>
      </c>
      <c r="B548" s="119" t="s">
        <v>1243</v>
      </c>
      <c r="C548" s="115"/>
      <c r="D548" s="123" t="str">
        <f>IF(Kielivalinta="","",IF(Kielivalinta="Suomi",_xlfn.IFNA(VLOOKUP($A548,Data!$A$2:$C$612,2,FALSE),0),IF(Kielivalinta="Svenska",_xlfn.IFNA(VLOOKUP($B548,Data!$A$2:$C$612,2,FALSE),0))))</f>
        <v/>
      </c>
      <c r="E548" s="123" t="str">
        <f>IF(Kielivalinta="","",IF(Kielivalinta="Suomi",_xlfn.IFNA(VLOOKUP($A548,Data!$A$2:$C$612,3,FALSE),0),IF(Kielivalinta="Svenska",_xlfn.IFNA(VLOOKUP($B548,Data!$A$2:$C$612,3,FALSE),0))))</f>
        <v/>
      </c>
      <c r="F548" s="137" t="str">
        <f>IF(Kielivalinta="","",IF(Kielivalinta="Suomi","Yhteensä",IF(Kielivalinta="Svenska","Tillsammans")))</f>
        <v/>
      </c>
      <c r="G548" s="148">
        <f>SUM(G543:G547)</f>
        <v>0</v>
      </c>
      <c r="H548" s="148">
        <f>SUM(H543:H547)</f>
        <v>0</v>
      </c>
      <c r="I548" s="132" t="s">
        <v>1268</v>
      </c>
      <c r="J548" s="119"/>
      <c r="Q548" s="119"/>
      <c r="R548" s="119"/>
      <c r="S548" s="119"/>
      <c r="T548" s="119"/>
      <c r="U548" s="119"/>
      <c r="V548" s="119"/>
      <c r="W548" s="119"/>
    </row>
    <row r="549" spans="1:23" x14ac:dyDescent="0.2">
      <c r="A549" s="119" t="s">
        <v>556</v>
      </c>
      <c r="B549" s="119" t="s">
        <v>1244</v>
      </c>
      <c r="C549" s="115"/>
      <c r="D549" s="123" t="str">
        <f>IF(Kielivalinta="","",IF(Kielivalinta="Suomi",_xlfn.IFNA(VLOOKUP($A549,Data!$A$2:$C$612,2,FALSE),0),IF(Kielivalinta="Svenska",_xlfn.IFNA(VLOOKUP($B549,Data!$A$2:$C$612,2,FALSE),0))))</f>
        <v/>
      </c>
      <c r="E549" s="123" t="str">
        <f>IF(Kielivalinta="","",IF(Kielivalinta="Suomi",_xlfn.IFNA(VLOOKUP($A549,Data!$A$2:$C$612,3,FALSE),0),IF(Kielivalinta="Svenska",_xlfn.IFNA(VLOOKUP($B549,Data!$A$2:$C$612,3,FALSE),0))))</f>
        <v/>
      </c>
      <c r="F549" s="119"/>
      <c r="G549" s="128"/>
      <c r="H549" s="119"/>
      <c r="I549" s="119"/>
      <c r="J549" s="119"/>
      <c r="Q549" s="119"/>
      <c r="R549" s="119"/>
      <c r="S549" s="119"/>
      <c r="T549" s="119"/>
      <c r="U549" s="119"/>
      <c r="V549" s="119"/>
      <c r="W549" s="119"/>
    </row>
    <row r="550" spans="1:23" x14ac:dyDescent="0.2">
      <c r="A550" s="119" t="s">
        <v>557</v>
      </c>
      <c r="B550" s="119" t="s">
        <v>996</v>
      </c>
      <c r="C550" s="115"/>
      <c r="D550" s="123" t="str">
        <f>IF(Kielivalinta="","",IF(Kielivalinta="Suomi",_xlfn.IFNA(VLOOKUP($A550,Data!$A$2:$C$612,2,FALSE),0),IF(Kielivalinta="Svenska",_xlfn.IFNA(VLOOKUP($B550,Data!$A$2:$C$612,2,FALSE),0))))</f>
        <v/>
      </c>
      <c r="E550" s="123" t="str">
        <f>IF(Kielivalinta="","",IF(Kielivalinta="Suomi",_xlfn.IFNA(VLOOKUP($A550,Data!$A$2:$C$612,3,FALSE),0),IF(Kielivalinta="Svenska",_xlfn.IFNA(VLOOKUP($B550,Data!$A$2:$C$612,3,FALSE),0))))</f>
        <v/>
      </c>
      <c r="F550" s="137" t="str">
        <f>IF(Kielivalinta="","",IF(Kielivalinta="Suomi","Projektirahoitus lähteittäin",IF(Kielivalinta="Svenska","Projektfinansiering enligt finansieringskällorna")))</f>
        <v/>
      </c>
      <c r="I550" s="119"/>
      <c r="J550" s="119"/>
      <c r="Q550" s="119"/>
      <c r="R550" s="119"/>
      <c r="S550" s="119"/>
      <c r="T550" s="119"/>
      <c r="U550" s="119"/>
      <c r="V550" s="119"/>
      <c r="W550" s="119"/>
    </row>
    <row r="551" spans="1:23" x14ac:dyDescent="0.2">
      <c r="A551" s="119" t="s">
        <v>558</v>
      </c>
      <c r="B551" s="119" t="s">
        <v>1245</v>
      </c>
      <c r="C551" s="115"/>
      <c r="D551" s="123" t="str">
        <f>IF(Kielivalinta="","",IF(Kielivalinta="Suomi",_xlfn.IFNA(VLOOKUP($A551,Data!$A$2:$C$612,2,FALSE),0),IF(Kielivalinta="Svenska",_xlfn.IFNA(VLOOKUP($B551,Data!$A$2:$C$612,2,FALSE),0))))</f>
        <v/>
      </c>
      <c r="E551" s="123" t="str">
        <f>IF(Kielivalinta="","",IF(Kielivalinta="Suomi",_xlfn.IFNA(VLOOKUP($A551,Data!$A$2:$C$612,3,FALSE),0),IF(Kielivalinta="Svenska",_xlfn.IFNA(VLOOKUP($B551,Data!$A$2:$C$612,3,FALSE),0))))</f>
        <v/>
      </c>
      <c r="F551" s="119"/>
      <c r="G551" s="139" t="str">
        <f>RIGHT(Data!$B$3,4)</f>
        <v/>
      </c>
      <c r="H551" s="139" t="str">
        <f>RIGHT(Data!$C$3,4)</f>
        <v/>
      </c>
      <c r="Q551" s="119"/>
      <c r="R551" s="119"/>
      <c r="S551" s="119"/>
      <c r="T551" s="119"/>
      <c r="U551" s="119"/>
      <c r="V551" s="119"/>
      <c r="W551" s="119"/>
    </row>
    <row r="552" spans="1:23" x14ac:dyDescent="0.2">
      <c r="A552" s="119" t="s">
        <v>559</v>
      </c>
      <c r="B552" s="119" t="s">
        <v>1246</v>
      </c>
      <c r="C552" s="115"/>
      <c r="D552" s="123" t="str">
        <f>IF(Kielivalinta="","",IF(Kielivalinta="Suomi",_xlfn.IFNA(VLOOKUP($A552,Data!$A$2:$C$612,2,FALSE),0),IF(Kielivalinta="Svenska",_xlfn.IFNA(VLOOKUP($B552,Data!$A$2:$C$612,2,FALSE),0))))</f>
        <v/>
      </c>
      <c r="E552" s="123" t="str">
        <f>IF(Kielivalinta="","",IF(Kielivalinta="Suomi",_xlfn.IFNA(VLOOKUP($A552,Data!$A$2:$C$612,3,FALSE),0),IF(Kielivalinta="Svenska",_xlfn.IFNA(VLOOKUP($B552,Data!$A$2:$C$612,3,FALSE),0))))</f>
        <v/>
      </c>
      <c r="F552" s="131" t="str">
        <f>IF(Kielivalinta="","",IF(Kielivalinta="Suomi","Kehysorganisaatio",IF(Kielivalinta="Svenska","Ramorganisation")))</f>
        <v/>
      </c>
      <c r="G552" s="128" t="str">
        <f>D543</f>
        <v/>
      </c>
      <c r="H552" s="128" t="str">
        <f>E543</f>
        <v/>
      </c>
      <c r="I552" s="119"/>
      <c r="J552" s="119"/>
      <c r="Q552" s="119"/>
      <c r="R552" s="119"/>
      <c r="S552" s="119"/>
      <c r="T552" s="119"/>
      <c r="U552" s="119"/>
      <c r="V552" s="119"/>
      <c r="W552" s="119"/>
    </row>
    <row r="553" spans="1:23" x14ac:dyDescent="0.2">
      <c r="A553" s="122" t="s">
        <v>560</v>
      </c>
      <c r="B553" s="122" t="s">
        <v>997</v>
      </c>
      <c r="C553" s="115"/>
      <c r="D553" s="123" t="str">
        <f>IF(Kielivalinta="","",IF(Kielivalinta="Suomi",_xlfn.IFNA(VLOOKUP($A553,Data!$A$2:$C$612,2,FALSE),0),IF(Kielivalinta="Svenska",_xlfn.IFNA(VLOOKUP($B553,Data!$A$2:$C$612,2,FALSE),0))))</f>
        <v/>
      </c>
      <c r="E553" s="123" t="str">
        <f>IF(Kielivalinta="","",IF(Kielivalinta="Suomi",_xlfn.IFNA(VLOOKUP($A553,Data!$A$2:$C$612,3,FALSE),0),IF(Kielivalinta="Svenska",_xlfn.IFNA(VLOOKUP($B553,Data!$A$2:$C$612,3,FALSE),0))))</f>
        <v/>
      </c>
      <c r="F553" s="131" t="str">
        <f>IF(Kielivalinta="","",IF(Kielivalinta="Suomi","Muu julkinen",IF(Kielivalinta="Svenska","Övrig offentlig")))</f>
        <v/>
      </c>
      <c r="G553" s="128" t="str">
        <f>D545</f>
        <v/>
      </c>
      <c r="H553" s="128" t="str">
        <f>E545</f>
        <v/>
      </c>
      <c r="I553" s="119"/>
      <c r="J553" s="119"/>
      <c r="Q553" s="122"/>
      <c r="R553" s="119"/>
      <c r="S553" s="119"/>
      <c r="T553" s="119"/>
      <c r="U553" s="119"/>
      <c r="V553" s="119"/>
      <c r="W553" s="119"/>
    </row>
    <row r="554" spans="1:23" x14ac:dyDescent="0.2">
      <c r="A554" s="119" t="s">
        <v>561</v>
      </c>
      <c r="B554" s="119" t="s">
        <v>998</v>
      </c>
      <c r="C554" s="115"/>
      <c r="D554" s="123" t="str">
        <f>IF(Kielivalinta="","",IF(Kielivalinta="Suomi",_xlfn.IFNA(VLOOKUP($A554,Data!$A$2:$C$612,2,FALSE),0),IF(Kielivalinta="Svenska",_xlfn.IFNA(VLOOKUP($B554,Data!$A$2:$C$612,2,FALSE),0))))</f>
        <v/>
      </c>
      <c r="E554" s="123" t="str">
        <f>IF(Kielivalinta="","",IF(Kielivalinta="Suomi",_xlfn.IFNA(VLOOKUP($A554,Data!$A$2:$C$612,3,FALSE),0),IF(Kielivalinta="Svenska",_xlfn.IFNA(VLOOKUP($B554,Data!$A$2:$C$612,3,FALSE),0))))</f>
        <v/>
      </c>
      <c r="F554" s="131" t="str">
        <f>IF(Kielivalinta="","",IF(Kielivalinta="Suomi","Yhteisprojektit",IF(Kielivalinta="Svenska","Centraliserad")))</f>
        <v/>
      </c>
      <c r="G554" s="128" t="str">
        <f>D548</f>
        <v/>
      </c>
      <c r="H554" s="128" t="str">
        <f>E548</f>
        <v/>
      </c>
      <c r="I554" s="119"/>
      <c r="J554" s="119"/>
      <c r="Q554" s="119"/>
      <c r="R554" s="119"/>
      <c r="S554" s="119"/>
      <c r="T554" s="119"/>
      <c r="U554" s="119"/>
      <c r="V554" s="119"/>
      <c r="W554" s="119"/>
    </row>
    <row r="555" spans="1:23" x14ac:dyDescent="0.2">
      <c r="A555" s="119" t="s">
        <v>562</v>
      </c>
      <c r="B555" s="119" t="s">
        <v>999</v>
      </c>
      <c r="C555" s="115"/>
      <c r="D555" s="123" t="str">
        <f>IF(Kielivalinta="","",IF(Kielivalinta="Suomi",_xlfn.IFNA(VLOOKUP($A555,Data!$A$2:$C$612,2,FALSE),0),IF(Kielivalinta="Svenska",_xlfn.IFNA(VLOOKUP($B555,Data!$A$2:$C$612,2,FALSE),0))))</f>
        <v/>
      </c>
      <c r="E555" s="123" t="str">
        <f>IF(Kielivalinta="","",IF(Kielivalinta="Suomi",_xlfn.IFNA(VLOOKUP($A555,Data!$A$2:$C$612,3,FALSE),0),IF(Kielivalinta="Svenska",_xlfn.IFNA(VLOOKUP($B555,Data!$A$2:$C$612,3,FALSE),0))))</f>
        <v/>
      </c>
      <c r="F555" s="137" t="str">
        <f>IF(Kielivalinta="","",IF(Kielivalinta="Suomi","Yhteensä",IF(Kielivalinta="Svenska","Tillsammans")))</f>
        <v/>
      </c>
      <c r="G555" s="148">
        <f>SUM(G552:G554)</f>
        <v>0</v>
      </c>
      <c r="H555" s="148">
        <f>SUM(H552:H554)</f>
        <v>0</v>
      </c>
      <c r="I555" s="119"/>
      <c r="J555" s="119"/>
      <c r="Q555" s="119"/>
      <c r="R555" s="119"/>
      <c r="S555" s="119"/>
      <c r="T555" s="119"/>
      <c r="U555" s="119"/>
      <c r="V555" s="119"/>
      <c r="W555" s="119"/>
    </row>
    <row r="556" spans="1:23" x14ac:dyDescent="0.2">
      <c r="A556" s="122" t="s">
        <v>563</v>
      </c>
      <c r="B556" s="122" t="s">
        <v>1000</v>
      </c>
      <c r="C556" s="115"/>
      <c r="D556" s="123" t="str">
        <f>IF(Kielivalinta="","",IF(Kielivalinta="Suomi",_xlfn.IFNA(VLOOKUP($A556,Data!$A$2:$C$612,2,FALSE),0),IF(Kielivalinta="Svenska",_xlfn.IFNA(VLOOKUP($B556,Data!$A$2:$C$612,2,FALSE),0))))</f>
        <v/>
      </c>
      <c r="E556" s="123" t="str">
        <f>IF(Kielivalinta="","",IF(Kielivalinta="Suomi",_xlfn.IFNA(VLOOKUP($A556,Data!$A$2:$C$612,3,FALSE),0),IF(Kielivalinta="Svenska",_xlfn.IFNA(VLOOKUP($B556,Data!$A$2:$C$612,3,FALSE),0))))</f>
        <v/>
      </c>
      <c r="F556" s="119"/>
      <c r="G556" s="119"/>
      <c r="H556" s="119"/>
      <c r="I556" s="119"/>
      <c r="J556" s="119"/>
      <c r="Q556" s="122"/>
      <c r="R556" s="119"/>
      <c r="S556" s="119"/>
      <c r="T556" s="119"/>
      <c r="U556" s="119"/>
      <c r="V556" s="119"/>
      <c r="W556" s="119"/>
    </row>
    <row r="557" spans="1:23" x14ac:dyDescent="0.2">
      <c r="A557" s="122" t="s">
        <v>564</v>
      </c>
      <c r="B557" s="122" t="s">
        <v>1001</v>
      </c>
      <c r="C557" s="115"/>
      <c r="D557" s="123" t="str">
        <f>IF(Kielivalinta="","",IF(Kielivalinta="Suomi",_xlfn.IFNA(VLOOKUP($A557,Data!$A$2:$C$612,2,FALSE),0),IF(Kielivalinta="Svenska",_xlfn.IFNA(VLOOKUP($B557,Data!$A$2:$C$612,2,FALSE),0))))</f>
        <v/>
      </c>
      <c r="E557" s="123" t="str">
        <f>IF(Kielivalinta="","",IF(Kielivalinta="Suomi",_xlfn.IFNA(VLOOKUP($A557,Data!$A$2:$C$612,3,FALSE),0),IF(Kielivalinta="Svenska",_xlfn.IFNA(VLOOKUP($B557,Data!$A$2:$C$612,3,FALSE),0))))</f>
        <v/>
      </c>
      <c r="F557" s="119"/>
      <c r="G557" s="119"/>
      <c r="H557" s="119"/>
      <c r="I557" s="119"/>
      <c r="J557" s="119"/>
      <c r="Q557" s="122"/>
      <c r="R557" s="119"/>
      <c r="S557" s="119"/>
      <c r="T557" s="119"/>
      <c r="U557" s="119"/>
      <c r="V557" s="119"/>
      <c r="W557" s="119"/>
    </row>
    <row r="558" spans="1:23" x14ac:dyDescent="0.2">
      <c r="A558" s="122" t="s">
        <v>565</v>
      </c>
      <c r="B558" s="122" t="s">
        <v>1002</v>
      </c>
      <c r="C558" s="115"/>
      <c r="D558" s="123" t="str">
        <f>IF(Kielivalinta="","",IF(Kielivalinta="Suomi",_xlfn.IFNA(VLOOKUP($A558,Data!$A$2:$C$612,2,FALSE),0),IF(Kielivalinta="Svenska",_xlfn.IFNA(VLOOKUP($B558,Data!$A$2:$C$612,2,FALSE),0))))</f>
        <v/>
      </c>
      <c r="E558" s="123" t="str">
        <f>IF(Kielivalinta="","",IF(Kielivalinta="Suomi",_xlfn.IFNA(VLOOKUP($A558,Data!$A$2:$C$612,3,FALSE),0),IF(Kielivalinta="Svenska",_xlfn.IFNA(VLOOKUP($B558,Data!$A$2:$C$612,3,FALSE),0))))</f>
        <v/>
      </c>
      <c r="F558" s="119"/>
      <c r="G558" s="119"/>
      <c r="H558" s="119"/>
      <c r="I558" s="119"/>
      <c r="J558" s="119"/>
      <c r="Q558" s="122"/>
      <c r="R558" s="119"/>
      <c r="S558" s="119"/>
      <c r="T558" s="119"/>
      <c r="U558" s="119"/>
      <c r="V558" s="119"/>
      <c r="W558" s="119"/>
    </row>
    <row r="559" spans="1:23" x14ac:dyDescent="0.2">
      <c r="A559" s="122" t="s">
        <v>566</v>
      </c>
      <c r="B559" s="122" t="s">
        <v>1003</v>
      </c>
      <c r="C559" s="115"/>
      <c r="D559" s="123" t="str">
        <f>IF(Kielivalinta="","",IF(Kielivalinta="Suomi",_xlfn.IFNA(VLOOKUP($A559,Data!$A$2:$C$612,2,FALSE),0),IF(Kielivalinta="Svenska",_xlfn.IFNA(VLOOKUP($B559,Data!$A$2:$C$612,2,FALSE),0))))</f>
        <v/>
      </c>
      <c r="E559" s="123" t="str">
        <f>IF(Kielivalinta="","",IF(Kielivalinta="Suomi",_xlfn.IFNA(VLOOKUP($A559,Data!$A$2:$C$612,3,FALSE),0),IF(Kielivalinta="Svenska",_xlfn.IFNA(VLOOKUP($B559,Data!$A$2:$C$612,3,FALSE),0))))</f>
        <v/>
      </c>
      <c r="F559" s="119"/>
      <c r="G559" s="119"/>
      <c r="H559" s="119"/>
      <c r="I559" s="119"/>
      <c r="J559" s="119"/>
      <c r="Q559" s="122"/>
      <c r="R559" s="119"/>
      <c r="S559" s="119"/>
      <c r="T559" s="119"/>
      <c r="U559" s="119"/>
      <c r="V559" s="119"/>
      <c r="W559" s="119"/>
    </row>
    <row r="560" spans="1:23" x14ac:dyDescent="0.2">
      <c r="A560" s="122" t="s">
        <v>567</v>
      </c>
      <c r="B560" s="122" t="s">
        <v>1004</v>
      </c>
      <c r="C560" s="115"/>
      <c r="D560" s="123" t="str">
        <f>IF(Kielivalinta="","",IF(Kielivalinta="Suomi",_xlfn.IFNA(VLOOKUP($A560,Data!$A$2:$C$612,2,FALSE),0),IF(Kielivalinta="Svenska",_xlfn.IFNA(VLOOKUP($B560,Data!$A$2:$C$612,2,FALSE),0))))</f>
        <v/>
      </c>
      <c r="E560" s="123" t="str">
        <f>IF(Kielivalinta="","",IF(Kielivalinta="Suomi",_xlfn.IFNA(VLOOKUP($A560,Data!$A$2:$C$612,3,FALSE),0),IF(Kielivalinta="Svenska",_xlfn.IFNA(VLOOKUP($B560,Data!$A$2:$C$612,3,FALSE),0))))</f>
        <v/>
      </c>
      <c r="F560" s="119"/>
      <c r="G560" s="119"/>
      <c r="H560" s="119"/>
      <c r="I560" s="119"/>
      <c r="J560" s="119"/>
      <c r="Q560" s="122"/>
      <c r="R560" s="119"/>
      <c r="S560" s="119"/>
      <c r="T560" s="119"/>
      <c r="U560" s="119"/>
      <c r="V560" s="119"/>
      <c r="W560" s="119"/>
    </row>
    <row r="561" spans="1:23" x14ac:dyDescent="0.2">
      <c r="A561" s="122" t="s">
        <v>568</v>
      </c>
      <c r="B561" s="122" t="s">
        <v>1247</v>
      </c>
      <c r="C561" s="115"/>
      <c r="D561" s="123" t="str">
        <f>IF(Kielivalinta="","",IF(Kielivalinta="Suomi",_xlfn.IFNA(VLOOKUP($A561,Data!$A$2:$C$612,2,FALSE),0),IF(Kielivalinta="Svenska",_xlfn.IFNA(VLOOKUP($B561,Data!$A$2:$C$612,2,FALSE),0))))</f>
        <v/>
      </c>
      <c r="E561" s="123" t="str">
        <f>IF(Kielivalinta="","",IF(Kielivalinta="Suomi",_xlfn.IFNA(VLOOKUP($A561,Data!$A$2:$C$612,3,FALSE),0),IF(Kielivalinta="Svenska",_xlfn.IFNA(VLOOKUP($B561,Data!$A$2:$C$612,3,FALSE),0))))</f>
        <v/>
      </c>
      <c r="F561" s="137" t="str">
        <f>IF(Kielivalinta="","",IF(Kielivalinta="Suomi","Henkilöstö",IF(Kielivalinta="Svenska","Personal")))</f>
        <v/>
      </c>
      <c r="G561" s="119"/>
      <c r="H561" s="119"/>
      <c r="I561" s="119"/>
      <c r="J561" s="119"/>
      <c r="Q561" s="122"/>
      <c r="R561" s="119"/>
      <c r="S561" s="119"/>
      <c r="T561" s="119"/>
      <c r="U561" s="119"/>
      <c r="V561" s="119"/>
      <c r="W561" s="119"/>
    </row>
    <row r="562" spans="1:23" x14ac:dyDescent="0.2">
      <c r="A562" s="122" t="s">
        <v>569</v>
      </c>
      <c r="B562" s="122" t="s">
        <v>1248</v>
      </c>
      <c r="C562" s="115"/>
      <c r="D562" s="123" t="str">
        <f>IF(Kielivalinta="","",IF(Kielivalinta="Suomi",_xlfn.IFNA(VLOOKUP($A562,Data!$A$2:$C$612,2,FALSE),0),IF(Kielivalinta="Svenska",_xlfn.IFNA(VLOOKUP($B562,Data!$A$2:$C$612,2,FALSE),0))))</f>
        <v/>
      </c>
      <c r="E562" s="123" t="str">
        <f>IF(Kielivalinta="","",IF(Kielivalinta="Suomi",_xlfn.IFNA(VLOOKUP($A562,Data!$A$2:$C$612,3,FALSE),0),IF(Kielivalinta="Svenska",_xlfn.IFNA(VLOOKUP($B562,Data!$A$2:$C$612,3,FALSE),0))))</f>
        <v/>
      </c>
      <c r="G562" s="139" t="str">
        <f>RIGHT(Data!$B$3,4)</f>
        <v/>
      </c>
      <c r="H562" s="139" t="str">
        <f>RIGHT(Data!$C$3,4)</f>
        <v/>
      </c>
      <c r="I562" s="119"/>
      <c r="J562" s="119"/>
      <c r="Q562" s="122"/>
      <c r="R562" s="119"/>
      <c r="S562" s="119"/>
      <c r="T562" s="119"/>
      <c r="U562" s="119"/>
      <c r="V562" s="119"/>
      <c r="W562" s="119"/>
    </row>
    <row r="563" spans="1:23" x14ac:dyDescent="0.2">
      <c r="A563" s="122" t="s">
        <v>570</v>
      </c>
      <c r="B563" s="122" t="s">
        <v>1249</v>
      </c>
      <c r="C563" s="115"/>
      <c r="D563" s="123" t="str">
        <f>IF(Kielivalinta="","",IF(Kielivalinta="Suomi",_xlfn.IFNA(VLOOKUP($A563,Data!$A$2:$C$612,2,FALSE),0),IF(Kielivalinta="Svenska",_xlfn.IFNA(VLOOKUP($B563,Data!$A$2:$C$612,2,FALSE),0))))</f>
        <v/>
      </c>
      <c r="E563" s="123" t="str">
        <f>IF(Kielivalinta="","",IF(Kielivalinta="Suomi",_xlfn.IFNA(VLOOKUP($A563,Data!$A$2:$C$612,3,FALSE),0),IF(Kielivalinta="Svenska",_xlfn.IFNA(VLOOKUP($B563,Data!$A$2:$C$612,3,FALSE),0))))</f>
        <v/>
      </c>
      <c r="F563" s="131" t="str">
        <f>IF(Kielivalinta="","",IF(Kielivalinta="Suomi","Henkilöstön määrä",IF(Kielivalinta="Svenska","Personalens antal")))</f>
        <v/>
      </c>
      <c r="G563" s="128" t="str">
        <f>D561</f>
        <v/>
      </c>
      <c r="H563" s="128" t="str">
        <f>E561</f>
        <v/>
      </c>
      <c r="I563" s="119"/>
      <c r="J563" s="119"/>
      <c r="Q563" s="122"/>
      <c r="R563" s="119"/>
      <c r="S563" s="119"/>
      <c r="T563" s="119"/>
      <c r="U563" s="119"/>
      <c r="V563" s="119"/>
      <c r="W563" s="119"/>
    </row>
    <row r="564" spans="1:23" x14ac:dyDescent="0.2">
      <c r="A564" s="119" t="s">
        <v>571</v>
      </c>
      <c r="B564" s="119" t="s">
        <v>1250</v>
      </c>
      <c r="C564" s="115"/>
      <c r="D564" s="123" t="str">
        <f>IF(Kielivalinta="","",IF(Kielivalinta="Suomi",_xlfn.IFNA(VLOOKUP($A564,Data!$A$2:$C$612,2,FALSE),0),IF(Kielivalinta="Svenska",_xlfn.IFNA(VLOOKUP($B564,Data!$A$2:$C$612,2,FALSE),0))))</f>
        <v/>
      </c>
      <c r="E564" s="123" t="str">
        <f>IF(Kielivalinta="","",IF(Kielivalinta="Suomi",_xlfn.IFNA(VLOOKUP($A564,Data!$A$2:$C$612,3,FALSE),0),IF(Kielivalinta="Svenska",_xlfn.IFNA(VLOOKUP($B564,Data!$A$2:$C$612,3,FALSE),0))))</f>
        <v/>
      </c>
      <c r="F564" s="131" t="str">
        <f>IF(Kielivalinta="","",IF(Kielivalinta="Suomi","Kirjaston rahoutksella, htv",IF(Kielivalinta="Svenska","Med bibliotekets budget, åv")))</f>
        <v/>
      </c>
      <c r="G564" s="128" t="str">
        <f t="shared" ref="G564:H566" si="27">D563</f>
        <v/>
      </c>
      <c r="H564" s="128" t="str">
        <f t="shared" si="27"/>
        <v/>
      </c>
      <c r="I564" s="119"/>
      <c r="J564" s="119"/>
      <c r="Q564" s="119"/>
      <c r="R564" s="119"/>
      <c r="S564" s="119"/>
      <c r="T564" s="119"/>
      <c r="U564" s="119"/>
      <c r="V564" s="119"/>
      <c r="W564" s="119"/>
    </row>
    <row r="565" spans="1:23" x14ac:dyDescent="0.2">
      <c r="A565" s="119" t="s">
        <v>572</v>
      </c>
      <c r="B565" s="119" t="s">
        <v>1251</v>
      </c>
      <c r="C565" s="115"/>
      <c r="D565" s="123" t="str">
        <f>IF(Kielivalinta="","",IF(Kielivalinta="Suomi",_xlfn.IFNA(VLOOKUP($A565,Data!$A$2:$C$612,2,FALSE),0),IF(Kielivalinta="Svenska",_xlfn.IFNA(VLOOKUP($B565,Data!$A$2:$C$612,2,FALSE),0))))</f>
        <v/>
      </c>
      <c r="E565" s="123" t="str">
        <f>IF(Kielivalinta="","",IF(Kielivalinta="Suomi",_xlfn.IFNA(VLOOKUP($A565,Data!$A$2:$C$612,3,FALSE),0),IF(Kielivalinta="Svenska",_xlfn.IFNA(VLOOKUP($B565,Data!$A$2:$C$612,3,FALSE),0))))</f>
        <v/>
      </c>
      <c r="F565" s="131" t="str">
        <f>IF(Kielivalinta="","",IF(Kielivalinta="Suomi","Maksullisen palvelutoiminnan rahoituksella, htv",IF(Kielivalinta="Svenska","Från avgiftsbelagda tjänster, åv")))</f>
        <v/>
      </c>
      <c r="G565" s="128" t="str">
        <f t="shared" si="27"/>
        <v/>
      </c>
      <c r="H565" s="128" t="str">
        <f t="shared" si="27"/>
        <v/>
      </c>
      <c r="J565" s="119"/>
      <c r="Q565" s="119"/>
      <c r="R565" s="119"/>
      <c r="S565" s="119"/>
      <c r="T565" s="119"/>
      <c r="U565" s="119"/>
      <c r="V565" s="119"/>
      <c r="W565" s="119"/>
    </row>
    <row r="566" spans="1:23" x14ac:dyDescent="0.2">
      <c r="A566" s="119" t="s">
        <v>573</v>
      </c>
      <c r="B566" s="119" t="s">
        <v>1252</v>
      </c>
      <c r="C566" s="115"/>
      <c r="D566" s="123" t="str">
        <f>IF(Kielivalinta="","",IF(Kielivalinta="Suomi",_xlfn.IFNA(VLOOKUP($A566,Data!$A$2:$C$612,2,FALSE),0),IF(Kielivalinta="Svenska",_xlfn.IFNA(VLOOKUP($B566,Data!$A$2:$C$612,2,FALSE),0))))</f>
        <v/>
      </c>
      <c r="E566" s="123" t="str">
        <f>IF(Kielivalinta="","",IF(Kielivalinta="Suomi",_xlfn.IFNA(VLOOKUP($A566,Data!$A$2:$C$612,3,FALSE),0),IF(Kielivalinta="Svenska",_xlfn.IFNA(VLOOKUP($B566,Data!$A$2:$C$612,3,FALSE),0))))</f>
        <v/>
      </c>
      <c r="F566" s="131" t="str">
        <f>IF(Kielivalinta="","",IF(Kielivalinta="Suomi","Ulkopuolisella rahoituksella, htv",IF(Kielivalinta="Svenska","Med yttre finansiering, åv")))</f>
        <v/>
      </c>
      <c r="G566" s="128" t="str">
        <f t="shared" si="27"/>
        <v/>
      </c>
      <c r="H566" s="128" t="str">
        <f t="shared" si="27"/>
        <v/>
      </c>
      <c r="I566" s="119"/>
      <c r="J566" s="119"/>
      <c r="Q566" s="119"/>
      <c r="R566" s="119"/>
      <c r="S566" s="119"/>
      <c r="T566" s="119"/>
      <c r="U566" s="119"/>
      <c r="V566" s="119"/>
      <c r="W566" s="119"/>
    </row>
    <row r="567" spans="1:23" x14ac:dyDescent="0.2">
      <c r="A567" s="119" t="s">
        <v>574</v>
      </c>
      <c r="B567" s="119" t="s">
        <v>1253</v>
      </c>
      <c r="C567" s="115"/>
      <c r="D567" s="123" t="str">
        <f>IF(Kielivalinta="","",IF(Kielivalinta="Suomi",_xlfn.IFNA(VLOOKUP($A567,Data!$A$2:$C$612,2,FALSE),0),IF(Kielivalinta="Svenska",_xlfn.IFNA(VLOOKUP($B567,Data!$A$2:$C$612,2,FALSE),0))))</f>
        <v/>
      </c>
      <c r="E567" s="123" t="str">
        <f>IF(Kielivalinta="","",IF(Kielivalinta="Suomi",_xlfn.IFNA(VLOOKUP($A567,Data!$A$2:$C$612,3,FALSE),0),IF(Kielivalinta="Svenska",_xlfn.IFNA(VLOOKUP($B567,Data!$A$2:$C$612,3,FALSE),0))))</f>
        <v/>
      </c>
      <c r="F567" s="137" t="str">
        <f>IF(Kielivalinta="","",IF(Kielivalinta="Suomi","Yhteensä (htv)",IF(Kielivalinta="Svenska","Tillsammans (åv)")))</f>
        <v/>
      </c>
      <c r="G567" s="129">
        <f>SUM(G564:G566)</f>
        <v>0</v>
      </c>
      <c r="H567" s="129">
        <f>SUM(H564:H566)</f>
        <v>0</v>
      </c>
      <c r="I567" s="119"/>
      <c r="J567" s="119"/>
      <c r="Q567" s="119"/>
      <c r="R567" s="119"/>
      <c r="S567" s="119"/>
      <c r="T567" s="119"/>
      <c r="U567" s="119"/>
      <c r="V567" s="119"/>
      <c r="W567" s="119"/>
    </row>
    <row r="568" spans="1:23" x14ac:dyDescent="0.2">
      <c r="A568" s="119" t="s">
        <v>575</v>
      </c>
      <c r="B568" s="119" t="s">
        <v>1254</v>
      </c>
      <c r="C568" s="115"/>
      <c r="D568" s="123" t="str">
        <f>IF(Kielivalinta="","",IF(Kielivalinta="Suomi",_xlfn.IFNA(VLOOKUP($A568,Data!$A$2:$C$612,2,FALSE),0),IF(Kielivalinta="Svenska",_xlfn.IFNA(VLOOKUP($B568,Data!$A$2:$C$612,2,FALSE),0))))</f>
        <v/>
      </c>
      <c r="E568" s="123" t="str">
        <f>IF(Kielivalinta="","",IF(Kielivalinta="Suomi",_xlfn.IFNA(VLOOKUP($A568,Data!$A$2:$C$612,3,FALSE),0),IF(Kielivalinta="Svenska",_xlfn.IFNA(VLOOKUP($B568,Data!$A$2:$C$612,3,FALSE),0))))</f>
        <v/>
      </c>
      <c r="I568" s="119"/>
      <c r="J568" s="119"/>
      <c r="Q568" s="119"/>
      <c r="R568" s="119"/>
      <c r="S568" s="119"/>
      <c r="T568" s="119"/>
      <c r="U568" s="119"/>
      <c r="V568" s="119"/>
      <c r="W568" s="119"/>
    </row>
    <row r="569" spans="1:23" x14ac:dyDescent="0.2">
      <c r="A569" s="119" t="s">
        <v>576</v>
      </c>
      <c r="B569" s="119" t="s">
        <v>1255</v>
      </c>
      <c r="C569" s="115"/>
      <c r="D569" s="123" t="str">
        <f>IF(Kielivalinta="","",IF(Kielivalinta="Suomi",_xlfn.IFNA(VLOOKUP($A569,Data!$A$2:$C$612,2,FALSE),0),IF(Kielivalinta="Svenska",_xlfn.IFNA(VLOOKUP($B569,Data!$A$2:$C$612,2,FALSE),0))))</f>
        <v/>
      </c>
      <c r="E569" s="123" t="str">
        <f>IF(Kielivalinta="","",IF(Kielivalinta="Suomi",_xlfn.IFNA(VLOOKUP($A569,Data!$A$2:$C$612,3,FALSE),0),IF(Kielivalinta="Svenska",_xlfn.IFNA(VLOOKUP($B569,Data!$A$2:$C$612,3,FALSE),0))))</f>
        <v/>
      </c>
      <c r="F569" s="137" t="str">
        <f>IF(Kielivalinta="","",IF(Kielivalinta="Suomi","Henkilöstö ammatillisuuden mukaan, htv",IF(Kielivalinta="Svenska","Personalen enlight yrkesmässighet, åv")))</f>
        <v/>
      </c>
      <c r="I569" s="119"/>
      <c r="J569" s="119"/>
      <c r="Q569" s="119"/>
      <c r="R569" s="119"/>
      <c r="S569" s="119"/>
      <c r="T569" s="119"/>
      <c r="U569" s="119"/>
      <c r="V569" s="119"/>
      <c r="W569" s="119"/>
    </row>
    <row r="570" spans="1:23" x14ac:dyDescent="0.2">
      <c r="A570" s="119" t="s">
        <v>577</v>
      </c>
      <c r="B570" s="119" t="s">
        <v>1256</v>
      </c>
      <c r="C570" s="115"/>
      <c r="D570" s="123" t="str">
        <f>IF(Kielivalinta="","",IF(Kielivalinta="Suomi",_xlfn.IFNA(VLOOKUP($A570,Data!$A$2:$C$612,2,FALSE),0),IF(Kielivalinta="Svenska",_xlfn.IFNA(VLOOKUP($B570,Data!$A$2:$C$612,2,FALSE),0))))</f>
        <v/>
      </c>
      <c r="E570" s="123" t="str">
        <f>IF(Kielivalinta="","",IF(Kielivalinta="Suomi",_xlfn.IFNA(VLOOKUP($A570,Data!$A$2:$C$612,3,FALSE),0),IF(Kielivalinta="Svenska",_xlfn.IFNA(VLOOKUP($B570,Data!$A$2:$C$612,3,FALSE),0))))</f>
        <v/>
      </c>
      <c r="G570" s="139" t="str">
        <f>RIGHT(Data!$B$3,4)</f>
        <v/>
      </c>
      <c r="H570" s="139" t="str">
        <f>RIGHT(Data!$C$3,4)</f>
        <v/>
      </c>
      <c r="I570" s="119"/>
      <c r="J570" s="119"/>
      <c r="Q570" s="119"/>
      <c r="R570" s="119"/>
      <c r="S570" s="119"/>
      <c r="T570" s="119"/>
      <c r="U570" s="119"/>
      <c r="V570" s="119"/>
      <c r="W570" s="119"/>
    </row>
    <row r="571" spans="1:23" x14ac:dyDescent="0.2">
      <c r="A571" s="119" t="s">
        <v>578</v>
      </c>
      <c r="B571" s="119" t="s">
        <v>1005</v>
      </c>
      <c r="C571" s="115"/>
      <c r="D571" s="123" t="str">
        <f>IF(Kielivalinta="","",IF(Kielivalinta="Suomi",_xlfn.IFNA(VLOOKUP($A571,Data!$A$2:$C$612,2,FALSE),0),IF(Kielivalinta="Svenska",_xlfn.IFNA(VLOOKUP($B571,Data!$A$2:$C$612,2,FALSE),0))))</f>
        <v/>
      </c>
      <c r="E571" s="123" t="str">
        <f>IF(Kielivalinta="","",IF(Kielivalinta="Suomi",_xlfn.IFNA(VLOOKUP($A571,Data!$A$2:$C$612,3,FALSE),0),IF(Kielivalinta="Svenska",_xlfn.IFNA(VLOOKUP($B571,Data!$A$2:$C$612,3,FALSE),0))))</f>
        <v/>
      </c>
      <c r="F571" s="131" t="str">
        <f>IF(Kielivalinta="","",IF(Kielivalinta="Suomi","Kirjastoammatillinen",IF(Kielivalinta="Svenska","Bibliotekstjänstemän")))</f>
        <v/>
      </c>
      <c r="G571" s="128" t="str">
        <f>D567</f>
        <v/>
      </c>
      <c r="H571" s="128" t="str">
        <f>E567</f>
        <v/>
      </c>
      <c r="I571" s="119"/>
      <c r="J571" s="119"/>
      <c r="Q571" s="119"/>
      <c r="R571" s="119"/>
      <c r="S571" s="119"/>
      <c r="T571" s="119"/>
      <c r="U571" s="119"/>
      <c r="V571" s="119"/>
      <c r="W571" s="119"/>
    </row>
    <row r="572" spans="1:23" x14ac:dyDescent="0.2">
      <c r="A572" s="119" t="s">
        <v>579</v>
      </c>
      <c r="B572" s="119" t="s">
        <v>1006</v>
      </c>
      <c r="C572" s="115"/>
      <c r="D572" s="123" t="str">
        <f>IF(Kielivalinta="","",IF(Kielivalinta="Suomi",_xlfn.IFNA(VLOOKUP($A572,Data!$A$2:$C$612,2,FALSE),0),IF(Kielivalinta="Svenska",_xlfn.IFNA(VLOOKUP($B572,Data!$A$2:$C$612,2,FALSE),0))))</f>
        <v/>
      </c>
      <c r="E572" s="123" t="str">
        <f>IF(Kielivalinta="","",IF(Kielivalinta="Suomi",_xlfn.IFNA(VLOOKUP($A572,Data!$A$2:$C$612,3,FALSE),0),IF(Kielivalinta="Svenska",_xlfn.IFNA(VLOOKUP($B572,Data!$A$2:$C$612,3,FALSE),0))))</f>
        <v/>
      </c>
      <c r="F572" s="131" t="str">
        <f>IF(Kielivalinta="","",IF(Kielivalinta="Suomi","Muut asiantuntijat",IF(Kielivalinta="Svenska","Övriga experter")))</f>
        <v/>
      </c>
      <c r="G572" s="128" t="str">
        <f>D569</f>
        <v/>
      </c>
      <c r="H572" s="128" t="str">
        <f>E569</f>
        <v/>
      </c>
      <c r="I572" s="119"/>
      <c r="J572" s="119"/>
      <c r="Q572" s="119"/>
      <c r="R572" s="119"/>
      <c r="S572" s="119"/>
      <c r="T572" s="119"/>
      <c r="U572" s="119"/>
      <c r="V572" s="119"/>
      <c r="W572" s="119"/>
    </row>
    <row r="573" spans="1:23" x14ac:dyDescent="0.2">
      <c r="A573" s="119" t="s">
        <v>580</v>
      </c>
      <c r="B573" s="119" t="s">
        <v>1007</v>
      </c>
      <c r="C573" s="115"/>
      <c r="D573" s="123" t="str">
        <f>IF(Kielivalinta="","",IF(Kielivalinta="Suomi",_xlfn.IFNA(VLOOKUP($A573,Data!$A$2:$C$612,2,FALSE),0),IF(Kielivalinta="Svenska",_xlfn.IFNA(VLOOKUP($B573,Data!$A$2:$C$612,2,FALSE),0))))</f>
        <v/>
      </c>
      <c r="E573" s="123" t="str">
        <f>IF(Kielivalinta="","",IF(Kielivalinta="Suomi",_xlfn.IFNA(VLOOKUP($A573,Data!$A$2:$C$612,3,FALSE),0),IF(Kielivalinta="Svenska",_xlfn.IFNA(VLOOKUP($B573,Data!$A$2:$C$612,3,FALSE),0))))</f>
        <v/>
      </c>
      <c r="F573" s="131" t="str">
        <f>IF(Kielivalinta="","",IF(Kielivalinta="Suomi","Muu henkilökunta",IF(Kielivalinta="Svenska","Övrig personal")))</f>
        <v/>
      </c>
      <c r="G573" s="128" t="str">
        <f>D570</f>
        <v/>
      </c>
      <c r="H573" s="128" t="str">
        <f>E570</f>
        <v/>
      </c>
      <c r="I573" s="119"/>
      <c r="J573" s="119"/>
      <c r="Q573" s="119"/>
      <c r="R573" s="119"/>
      <c r="S573" s="119"/>
      <c r="T573" s="119"/>
      <c r="U573" s="119"/>
      <c r="V573" s="119"/>
      <c r="W573" s="119"/>
    </row>
    <row r="574" spans="1:23" x14ac:dyDescent="0.2">
      <c r="A574" s="122" t="s">
        <v>581</v>
      </c>
      <c r="B574" s="122" t="s">
        <v>1008</v>
      </c>
      <c r="C574" s="115"/>
      <c r="D574" s="123" t="str">
        <f>IF(Kielivalinta="","",IF(Kielivalinta="Suomi",_xlfn.IFNA(VLOOKUP($A574,Data!$A$2:$C$612,2,FALSE),0),IF(Kielivalinta="Svenska",_xlfn.IFNA(VLOOKUP($B574,Data!$A$2:$C$612,2,FALSE),0))))</f>
        <v/>
      </c>
      <c r="E574" s="123" t="str">
        <f>IF(Kielivalinta="","",IF(Kielivalinta="Suomi",_xlfn.IFNA(VLOOKUP($A574,Data!$A$2:$C$612,3,FALSE),0),IF(Kielivalinta="Svenska",_xlfn.IFNA(VLOOKUP($B574,Data!$A$2:$C$612,3,FALSE),0))))</f>
        <v/>
      </c>
      <c r="F574" s="137" t="str">
        <f>IF(Kielivalinta="","",IF(Kielivalinta="Suomi","Yhteensä (htv)",IF(Kielivalinta="Svenska","Tillsammans (åv)")))</f>
        <v/>
      </c>
      <c r="G574" s="129">
        <f>SUM(G571:G573)</f>
        <v>0</v>
      </c>
      <c r="H574" s="129">
        <f>SUM(H571:H573)</f>
        <v>0</v>
      </c>
      <c r="I574" s="119"/>
      <c r="J574" s="119"/>
      <c r="Q574" s="122"/>
      <c r="R574" s="119"/>
      <c r="S574" s="119"/>
      <c r="T574" s="119"/>
      <c r="U574" s="119"/>
      <c r="V574" s="119"/>
      <c r="W574" s="119"/>
    </row>
    <row r="575" spans="1:23" x14ac:dyDescent="0.2">
      <c r="A575" s="122" t="s">
        <v>582</v>
      </c>
      <c r="B575" s="122" t="s">
        <v>1009</v>
      </c>
      <c r="C575" s="115"/>
      <c r="D575" s="123" t="str">
        <f>IF(Kielivalinta="","",IF(Kielivalinta="Suomi",_xlfn.IFNA(VLOOKUP($A575,Data!$A$2:$C$612,2,FALSE),0),IF(Kielivalinta="Svenska",_xlfn.IFNA(VLOOKUP($B575,Data!$A$2:$C$612,2,FALSE),0))))</f>
        <v/>
      </c>
      <c r="E575" s="123" t="str">
        <f>IF(Kielivalinta="","",IF(Kielivalinta="Suomi",_xlfn.IFNA(VLOOKUP($A575,Data!$A$2:$C$612,3,FALSE),0),IF(Kielivalinta="Svenska",_xlfn.IFNA(VLOOKUP($B575,Data!$A$2:$C$612,3,FALSE),0))))</f>
        <v/>
      </c>
      <c r="G575" s="119"/>
      <c r="H575" s="119"/>
      <c r="I575" s="119"/>
      <c r="J575" s="119"/>
      <c r="Q575" s="122"/>
      <c r="R575" s="119"/>
      <c r="S575" s="119"/>
      <c r="T575" s="119"/>
      <c r="U575" s="119"/>
      <c r="V575" s="119"/>
      <c r="W575" s="119"/>
    </row>
    <row r="576" spans="1:23" x14ac:dyDescent="0.2">
      <c r="A576" s="122" t="s">
        <v>583</v>
      </c>
      <c r="B576" s="122" t="s">
        <v>1010</v>
      </c>
      <c r="C576" s="115"/>
      <c r="D576" s="123" t="str">
        <f>IF(Kielivalinta="","",IF(Kielivalinta="Suomi",_xlfn.IFNA(VLOOKUP($A576,Data!$A$2:$C$612,2,FALSE),0),IF(Kielivalinta="Svenska",_xlfn.IFNA(VLOOKUP($B576,Data!$A$2:$C$612,2,FALSE),0))))</f>
        <v/>
      </c>
      <c r="E576" s="123" t="str">
        <f>IF(Kielivalinta="","",IF(Kielivalinta="Suomi",_xlfn.IFNA(VLOOKUP($A576,Data!$A$2:$C$612,3,FALSE),0),IF(Kielivalinta="Svenska",_xlfn.IFNA(VLOOKUP($B576,Data!$A$2:$C$612,3,FALSE),0))))</f>
        <v/>
      </c>
      <c r="F576" s="137" t="str">
        <f>IF(Kielivalinta="","",IF(Kielivalinta="Suomi","Henkilöstön koulutus",IF(Kielivalinta="Svenska","Personalutbildning")))</f>
        <v/>
      </c>
      <c r="G576" s="119"/>
      <c r="H576" s="119"/>
      <c r="I576" s="119"/>
      <c r="J576" s="119"/>
      <c r="Q576" s="122"/>
      <c r="R576" s="119"/>
      <c r="S576" s="119"/>
      <c r="T576" s="119"/>
      <c r="U576" s="119"/>
      <c r="V576" s="119"/>
      <c r="W576" s="119"/>
    </row>
    <row r="577" spans="1:23" x14ac:dyDescent="0.2">
      <c r="A577" s="122" t="s">
        <v>584</v>
      </c>
      <c r="B577" s="122" t="s">
        <v>1011</v>
      </c>
      <c r="C577" s="115"/>
      <c r="D577" s="123" t="str">
        <f>IF(Kielivalinta="","",IF(Kielivalinta="Suomi",_xlfn.IFNA(VLOOKUP($A577,Data!$A$2:$C$612,2,FALSE),0),IF(Kielivalinta="Svenska",_xlfn.IFNA(VLOOKUP($B577,Data!$A$2:$C$612,2,FALSE),0))))</f>
        <v/>
      </c>
      <c r="E577" s="123" t="str">
        <f>IF(Kielivalinta="","",IF(Kielivalinta="Suomi",_xlfn.IFNA(VLOOKUP($A577,Data!$A$2:$C$612,3,FALSE),0),IF(Kielivalinta="Svenska",_xlfn.IFNA(VLOOKUP($B577,Data!$A$2:$C$612,3,FALSE),0))))</f>
        <v/>
      </c>
      <c r="I577" s="139" t="str">
        <f>RIGHT(Data!$B$3,4)</f>
        <v/>
      </c>
      <c r="J577" s="139" t="str">
        <f>RIGHT(Data!$C$3,4)</f>
        <v/>
      </c>
      <c r="Q577" s="122"/>
      <c r="R577" s="119"/>
      <c r="S577" s="119"/>
      <c r="T577" s="119"/>
      <c r="U577" s="119"/>
      <c r="V577" s="119"/>
      <c r="W577" s="119"/>
    </row>
    <row r="578" spans="1:23" x14ac:dyDescent="0.2">
      <c r="A578" s="122" t="s">
        <v>585</v>
      </c>
      <c r="B578" s="122" t="s">
        <v>1012</v>
      </c>
      <c r="C578" s="115"/>
      <c r="D578" s="123" t="str">
        <f>IF(Kielivalinta="","",IF(Kielivalinta="Suomi",_xlfn.IFNA(VLOOKUP($A578,Data!$A$2:$C$612,2,FALSE),0),IF(Kielivalinta="Svenska",_xlfn.IFNA(VLOOKUP($B578,Data!$A$2:$C$612,2,FALSE),0))))</f>
        <v/>
      </c>
      <c r="E578" s="123" t="str">
        <f>IF(Kielivalinta="","",IF(Kielivalinta="Suomi",_xlfn.IFNA(VLOOKUP($A578,Data!$A$2:$C$612,3,FALSE),0),IF(Kielivalinta="Svenska",_xlfn.IFNA(VLOOKUP($B578,Data!$A$2:$C$612,3,FALSE),0))))</f>
        <v/>
      </c>
      <c r="F578" s="131" t="str">
        <f>IF(Kielivalinta="","",IF(Kielivalinta="Suomi","Koulutuspäivät",IF(Kielivalinta="Svenska","Utbildningsdagar")))</f>
        <v/>
      </c>
      <c r="I578" s="128" t="str">
        <f>D572</f>
        <v/>
      </c>
      <c r="J578" s="128" t="str">
        <f>E572</f>
        <v/>
      </c>
      <c r="Q578" s="122"/>
      <c r="R578" s="119"/>
      <c r="S578" s="119"/>
      <c r="T578" s="119"/>
      <c r="U578" s="119"/>
      <c r="V578" s="119"/>
      <c r="W578" s="119"/>
    </row>
    <row r="579" spans="1:23" x14ac:dyDescent="0.2">
      <c r="A579" s="122" t="s">
        <v>586</v>
      </c>
      <c r="B579" s="122" t="s">
        <v>1013</v>
      </c>
      <c r="C579" s="115"/>
      <c r="D579" s="123" t="str">
        <f>IF(Kielivalinta="","",IF(Kielivalinta="Suomi",_xlfn.IFNA(VLOOKUP($A579,Data!$A$2:$C$612,2,FALSE),0),IF(Kielivalinta="Svenska",_xlfn.IFNA(VLOOKUP($B579,Data!$A$2:$C$612,2,FALSE),0))))</f>
        <v/>
      </c>
      <c r="E579" s="123" t="str">
        <f>IF(Kielivalinta="","",IF(Kielivalinta="Suomi",_xlfn.IFNA(VLOOKUP($A579,Data!$A$2:$C$612,3,FALSE),0),IF(Kielivalinta="Svenska",_xlfn.IFNA(VLOOKUP($B579,Data!$A$2:$C$612,3,FALSE),0))))</f>
        <v/>
      </c>
      <c r="F579" s="131" t="str">
        <f>IF(Kielivalinta="","",IF(Kielivalinta="Suomi","Koulutusta saaneita",IF(Kielivalinta="Svenska","Antal personal som utbildats")))</f>
        <v/>
      </c>
      <c r="I579" s="123" t="str">
        <f>D573</f>
        <v/>
      </c>
      <c r="J579" s="123" t="str">
        <f>E573</f>
        <v/>
      </c>
      <c r="Q579" s="122"/>
      <c r="R579" s="119"/>
      <c r="S579" s="119"/>
      <c r="T579" s="119"/>
      <c r="U579" s="119"/>
      <c r="V579" s="119"/>
      <c r="W579" s="119"/>
    </row>
    <row r="580" spans="1:23" x14ac:dyDescent="0.2">
      <c r="A580" s="122" t="s">
        <v>587</v>
      </c>
      <c r="B580" s="122" t="s">
        <v>1257</v>
      </c>
      <c r="C580" s="115"/>
      <c r="D580" s="123" t="str">
        <f>IF(Kielivalinta="","",IF(Kielivalinta="Suomi",_xlfn.IFNA(VLOOKUP($A580,Data!$A$2:$C$612,2,FALSE),0),IF(Kielivalinta="Svenska",_xlfn.IFNA(VLOOKUP($B580,Data!$A$2:$C$612,2,FALSE),0))))</f>
        <v/>
      </c>
      <c r="E580" s="123" t="str">
        <f>IF(Kielivalinta="","",IF(Kielivalinta="Suomi",_xlfn.IFNA(VLOOKUP($A580,Data!$A$2:$C$612,3,FALSE),0),IF(Kielivalinta="Svenska",_xlfn.IFNA(VLOOKUP($B580,Data!$A$2:$C$612,3,FALSE),0))))</f>
        <v/>
      </c>
      <c r="F580" s="131" t="str">
        <f>IF(Kielivalinta="","",IF(Kielivalinta="Suomi","Henkilöstön koulutusmenot (€)",IF(Kielivalinta="Svenska","Utgifter för personalutbildning (€)")))</f>
        <v/>
      </c>
      <c r="I580" s="128" t="str">
        <f>D494</f>
        <v/>
      </c>
      <c r="J580" s="128" t="str">
        <f>E494</f>
        <v/>
      </c>
      <c r="Q580" s="122"/>
      <c r="R580" s="119"/>
      <c r="S580" s="119"/>
      <c r="T580" s="119"/>
      <c r="U580" s="119"/>
      <c r="V580" s="119"/>
      <c r="W580" s="119"/>
    </row>
    <row r="581" spans="1:23" x14ac:dyDescent="0.2">
      <c r="A581" s="122" t="s">
        <v>588</v>
      </c>
      <c r="B581" s="122" t="s">
        <v>1014</v>
      </c>
      <c r="C581" s="115"/>
      <c r="D581" s="123" t="str">
        <f>IF(Kielivalinta="","",IF(Kielivalinta="Suomi",_xlfn.IFNA(VLOOKUP($A581,Data!$A$2:$C$612,2,FALSE),0),IF(Kielivalinta="Svenska",_xlfn.IFNA(VLOOKUP($B581,Data!$A$2:$C$612,2,FALSE),0))))</f>
        <v/>
      </c>
      <c r="E581" s="123" t="str">
        <f>IF(Kielivalinta="","",IF(Kielivalinta="Suomi",_xlfn.IFNA(VLOOKUP($A581,Data!$A$2:$C$612,3,FALSE),0),IF(Kielivalinta="Svenska",_xlfn.IFNA(VLOOKUP($B581,Data!$A$2:$C$612,3,FALSE),0))))</f>
        <v/>
      </c>
      <c r="F581" s="149" t="str">
        <f>IF(Kielivalinta="suomi","Koulutuspäivän keskihinta (€)",IF(Kielivalinta="svenska","Utbildningsdagens medelpris (€)","Valitse kieli"))</f>
        <v>Valitse kieli</v>
      </c>
      <c r="I581" s="128" t="str">
        <f>IFERROR((D494/D572)*1000,"")</f>
        <v/>
      </c>
      <c r="J581" s="128" t="str">
        <f>IFERROR((E494/E572)*1000,"")</f>
        <v/>
      </c>
      <c r="Q581" s="122"/>
      <c r="R581" s="119"/>
      <c r="S581" s="119"/>
      <c r="T581" s="119"/>
      <c r="U581" s="119"/>
      <c r="V581" s="119"/>
      <c r="W581" s="119"/>
    </row>
    <row r="582" spans="1:23" x14ac:dyDescent="0.2">
      <c r="A582" s="122" t="s">
        <v>589</v>
      </c>
      <c r="B582" s="122" t="s">
        <v>1258</v>
      </c>
      <c r="C582" s="115"/>
      <c r="D582" s="123" t="str">
        <f>IF(Kielivalinta="","",IF(Kielivalinta="Suomi",_xlfn.IFNA(VLOOKUP($A582,Data!$A$2:$C$612,2,FALSE),0),IF(Kielivalinta="Svenska",_xlfn.IFNA(VLOOKUP($B582,Data!$A$2:$C$612,2,FALSE),0))))</f>
        <v/>
      </c>
      <c r="E582" s="123" t="str">
        <f>IF(Kielivalinta="","",IF(Kielivalinta="Suomi",_xlfn.IFNA(VLOOKUP($A582,Data!$A$2:$C$612,3,FALSE),0),IF(Kielivalinta="Svenska",_xlfn.IFNA(VLOOKUP($B582,Data!$A$2:$C$612,3,FALSE),0))))</f>
        <v/>
      </c>
      <c r="F582" s="149" t="str">
        <f>IF(Kielivalinta="suomi","Koulutuspv / koulutusta saanut",IF(Kielivalinta="svenska","Utbildningsdagar / utbildad personal","Valitse kieli"))</f>
        <v>Valitse kieli</v>
      </c>
      <c r="I582" s="128" t="str">
        <f>IFERROR(D572/D573,"")</f>
        <v/>
      </c>
      <c r="J582" s="128" t="str">
        <f>IFERROR(E572/E573,"")</f>
        <v/>
      </c>
      <c r="Q582" s="122"/>
      <c r="R582" s="119"/>
      <c r="S582" s="119"/>
      <c r="T582" s="119"/>
      <c r="U582" s="119"/>
      <c r="V582" s="119"/>
      <c r="W582" s="119"/>
    </row>
    <row r="583" spans="1:23" x14ac:dyDescent="0.2">
      <c r="A583" s="119" t="s">
        <v>590</v>
      </c>
      <c r="B583" s="119" t="s">
        <v>1015</v>
      </c>
      <c r="C583" s="115"/>
      <c r="D583" s="123" t="str">
        <f>IF(Kielivalinta="","",IF(Kielivalinta="Suomi",_xlfn.IFNA(VLOOKUP($A583,Data!$A$2:$C$612,2,FALSE),0),IF(Kielivalinta="Svenska",_xlfn.IFNA(VLOOKUP($B583,Data!$A$2:$C$612,2,FALSE),0))))</f>
        <v/>
      </c>
      <c r="E583" s="123" t="str">
        <f>IF(Kielivalinta="","",IF(Kielivalinta="Suomi",_xlfn.IFNA(VLOOKUP($A583,Data!$A$2:$C$612,3,FALSE),0),IF(Kielivalinta="Svenska",_xlfn.IFNA(VLOOKUP($B583,Data!$A$2:$C$612,3,FALSE),0))))</f>
        <v/>
      </c>
      <c r="F583" s="149" t="str">
        <f>IF(Kielivalinta="suomi","Koulutuspv / kirjaston htv",IF(Kielivalinta="svenska","Utbildningsdagar / bibliotekets åv","Valitse kieli"))</f>
        <v>Valitse kieli</v>
      </c>
      <c r="I583" s="128" t="str">
        <f>IFERROR(D572/D562,"")</f>
        <v/>
      </c>
      <c r="J583" s="128" t="str">
        <f>IFERROR(E572/E562,"")</f>
        <v/>
      </c>
      <c r="Q583" s="119"/>
      <c r="R583" s="119"/>
      <c r="S583" s="119"/>
      <c r="T583" s="119"/>
      <c r="U583" s="119"/>
      <c r="V583" s="119"/>
      <c r="W583" s="119"/>
    </row>
    <row r="584" spans="1:23" x14ac:dyDescent="0.2">
      <c r="A584" s="122" t="s">
        <v>591</v>
      </c>
      <c r="B584" s="122" t="s">
        <v>1016</v>
      </c>
      <c r="C584" s="115"/>
      <c r="D584" s="123" t="str">
        <f>IF(Kielivalinta="","",IF(Kielivalinta="Suomi",_xlfn.IFNA(VLOOKUP($A584,Data!$A$2:$C$612,2,FALSE),0),IF(Kielivalinta="Svenska",_xlfn.IFNA(VLOOKUP($B584,Data!$A$2:$C$612,2,FALSE),0))))</f>
        <v/>
      </c>
      <c r="E584" s="123" t="str">
        <f>IF(Kielivalinta="","",IF(Kielivalinta="Suomi",_xlfn.IFNA(VLOOKUP($A584,Data!$A$2:$C$612,3,FALSE),0),IF(Kielivalinta="Svenska",_xlfn.IFNA(VLOOKUP($B584,Data!$A$2:$C$612,3,FALSE),0))))</f>
        <v/>
      </c>
      <c r="G584" s="119"/>
      <c r="H584" s="119"/>
      <c r="I584" s="119"/>
      <c r="J584" s="119"/>
      <c r="Q584" s="122"/>
      <c r="R584" s="119"/>
      <c r="S584" s="119"/>
      <c r="T584" s="119"/>
      <c r="U584" s="119"/>
      <c r="V584" s="119"/>
      <c r="W584" s="119"/>
    </row>
    <row r="585" spans="1:23" x14ac:dyDescent="0.2">
      <c r="A585" s="119" t="s">
        <v>592</v>
      </c>
      <c r="B585" s="119" t="s">
        <v>1017</v>
      </c>
      <c r="C585" s="115"/>
      <c r="D585" s="123" t="str">
        <f>IF(Kielivalinta="","",IF(Kielivalinta="Suomi",_xlfn.IFNA(VLOOKUP($A585,Data!$A$2:$C$612,2,FALSE),0),IF(Kielivalinta="Svenska",_xlfn.IFNA(VLOOKUP($B585,Data!$A$2:$C$612,2,FALSE),0))))</f>
        <v/>
      </c>
      <c r="E585" s="123" t="str">
        <f>IF(Kielivalinta="","",IF(Kielivalinta="Suomi",_xlfn.IFNA(VLOOKUP($A585,Data!$A$2:$C$612,3,FALSE),0),IF(Kielivalinta="Svenska",_xlfn.IFNA(VLOOKUP($B585,Data!$A$2:$C$612,3,FALSE),0))))</f>
        <v/>
      </c>
      <c r="G585" s="119"/>
      <c r="H585" s="119"/>
      <c r="I585" s="119"/>
      <c r="J585" s="119"/>
      <c r="Q585" s="119"/>
      <c r="R585" s="119"/>
      <c r="S585" s="119"/>
      <c r="T585" s="119"/>
      <c r="U585" s="119"/>
      <c r="V585" s="119"/>
      <c r="W585" s="119"/>
    </row>
    <row r="586" spans="1:23" x14ac:dyDescent="0.2">
      <c r="A586" s="122" t="s">
        <v>593</v>
      </c>
      <c r="B586" s="122" t="s">
        <v>1018</v>
      </c>
      <c r="C586" s="115"/>
      <c r="D586" s="123" t="str">
        <f>IF(Kielivalinta="","",IF(Kielivalinta="Suomi",_xlfn.IFNA(VLOOKUP($A586,Data!$A$2:$C$612,2,FALSE),0),IF(Kielivalinta="Svenska",_xlfn.IFNA(VLOOKUP($B586,Data!$A$2:$C$612,2,FALSE),0))))</f>
        <v/>
      </c>
      <c r="E586" s="123" t="str">
        <f>IF(Kielivalinta="","",IF(Kielivalinta="Suomi",_xlfn.IFNA(VLOOKUP($A586,Data!$A$2:$C$612,3,FALSE),0),IF(Kielivalinta="Svenska",_xlfn.IFNA(VLOOKUP($B586,Data!$A$2:$C$612,3,FALSE),0))))</f>
        <v/>
      </c>
      <c r="G586" s="119"/>
      <c r="H586" s="119"/>
      <c r="I586" s="119"/>
      <c r="J586" s="119"/>
      <c r="Q586" s="122"/>
      <c r="R586" s="119"/>
      <c r="S586" s="119"/>
      <c r="T586" s="119"/>
      <c r="U586" s="119"/>
      <c r="V586" s="119"/>
      <c r="W586" s="119"/>
    </row>
    <row r="587" spans="1:23" x14ac:dyDescent="0.2">
      <c r="A587" s="122" t="s">
        <v>644</v>
      </c>
      <c r="B587" s="122" t="s">
        <v>1019</v>
      </c>
      <c r="C587" s="115"/>
      <c r="D587" s="123" t="str">
        <f>IF(Kielivalinta="","",IF(Kielivalinta="Suomi",_xlfn.IFNA(VLOOKUP($A587,Data!$A$2:$C$612,2,FALSE),0),IF(Kielivalinta="Svenska",_xlfn.IFNA(VLOOKUP($B587,Data!$A$2:$C$612,2,FALSE),0))))</f>
        <v/>
      </c>
      <c r="E587" s="123" t="str">
        <f>IF(Kielivalinta="","",IF(Kielivalinta="Suomi",_xlfn.IFNA(VLOOKUP($A587,Data!$A$2:$C$612,3,FALSE),0),IF(Kielivalinta="Svenska",_xlfn.IFNA(VLOOKUP($B587,Data!$A$2:$C$612,3,FALSE),0))))</f>
        <v/>
      </c>
      <c r="G587" s="119"/>
      <c r="H587" s="119"/>
      <c r="I587" s="119"/>
      <c r="J587" s="119"/>
      <c r="Q587" s="122"/>
      <c r="R587" s="119"/>
      <c r="S587" s="119"/>
      <c r="T587" s="119"/>
      <c r="U587" s="119"/>
      <c r="V587" s="119"/>
      <c r="W587" s="119"/>
    </row>
    <row r="588" spans="1:23" x14ac:dyDescent="0.2">
      <c r="A588" s="122" t="s">
        <v>594</v>
      </c>
      <c r="B588" s="122" t="s">
        <v>1020</v>
      </c>
      <c r="C588" s="115"/>
      <c r="D588" s="123" t="str">
        <f>IF(Kielivalinta="","",IF(Kielivalinta="Suomi",_xlfn.IFNA(VLOOKUP($A588,Data!$A$2:$C$612,2,FALSE),0),IF(Kielivalinta="Svenska",_xlfn.IFNA(VLOOKUP($B588,Data!$A$2:$C$612,2,FALSE),0))))</f>
        <v/>
      </c>
      <c r="E588" s="123" t="str">
        <f>IF(Kielivalinta="","",IF(Kielivalinta="Suomi",_xlfn.IFNA(VLOOKUP($A588,Data!$A$2:$C$612,3,FALSE),0),IF(Kielivalinta="Svenska",_xlfn.IFNA(VLOOKUP($B588,Data!$A$2:$C$612,3,FALSE),0))))</f>
        <v/>
      </c>
      <c r="F588" s="119"/>
      <c r="G588" s="119"/>
      <c r="H588" s="119"/>
      <c r="I588" s="119"/>
      <c r="J588" s="119"/>
      <c r="Q588" s="122"/>
      <c r="R588" s="119"/>
      <c r="S588" s="119"/>
      <c r="T588" s="119"/>
      <c r="U588" s="119"/>
      <c r="V588" s="119"/>
      <c r="W588" s="119"/>
    </row>
    <row r="589" spans="1:23" x14ac:dyDescent="0.2">
      <c r="A589" s="122" t="s">
        <v>595</v>
      </c>
      <c r="B589" s="122" t="s">
        <v>1021</v>
      </c>
      <c r="C589" s="115"/>
      <c r="D589" s="123" t="str">
        <f>IF(Kielivalinta="","",IF(Kielivalinta="Suomi",_xlfn.IFNA(VLOOKUP($A589,Data!$A$2:$C$612,2,FALSE),0),IF(Kielivalinta="Svenska",_xlfn.IFNA(VLOOKUP($B589,Data!$A$2:$C$612,2,FALSE),0))))</f>
        <v/>
      </c>
      <c r="E589" s="123" t="str">
        <f>IF(Kielivalinta="","",IF(Kielivalinta="Suomi",_xlfn.IFNA(VLOOKUP($A589,Data!$A$2:$C$612,3,FALSE),0),IF(Kielivalinta="Svenska",_xlfn.IFNA(VLOOKUP($B589,Data!$A$2:$C$612,3,FALSE),0))))</f>
        <v/>
      </c>
      <c r="F589" s="119"/>
      <c r="G589" s="119"/>
      <c r="H589" s="119"/>
      <c r="I589" s="119"/>
      <c r="J589" s="119"/>
      <c r="Q589" s="122"/>
      <c r="R589" s="119"/>
      <c r="S589" s="119"/>
      <c r="T589" s="119"/>
      <c r="U589" s="119"/>
      <c r="V589" s="119"/>
      <c r="W589" s="119"/>
    </row>
    <row r="590" spans="1:23" x14ac:dyDescent="0.2">
      <c r="A590" s="122" t="s">
        <v>596</v>
      </c>
      <c r="B590" s="122" t="s">
        <v>1022</v>
      </c>
      <c r="C590" s="115"/>
      <c r="D590" s="123" t="str">
        <f>IF(Kielivalinta="","",IF(Kielivalinta="Suomi",_xlfn.IFNA(VLOOKUP($A590,Data!$A$2:$C$612,2,FALSE),0),IF(Kielivalinta="Svenska",_xlfn.IFNA(VLOOKUP($B590,Data!$A$2:$C$612,2,FALSE),0))))</f>
        <v/>
      </c>
      <c r="E590" s="123" t="str">
        <f>IF(Kielivalinta="","",IF(Kielivalinta="Suomi",_xlfn.IFNA(VLOOKUP($A590,Data!$A$2:$C$612,3,FALSE),0),IF(Kielivalinta="Svenska",_xlfn.IFNA(VLOOKUP($B590,Data!$A$2:$C$612,3,FALSE),0))))</f>
        <v/>
      </c>
      <c r="F590" s="119"/>
      <c r="G590" s="119"/>
      <c r="H590" s="119"/>
      <c r="I590" s="119"/>
      <c r="J590" s="119"/>
      <c r="Q590" s="122"/>
      <c r="R590" s="119"/>
      <c r="S590" s="119"/>
      <c r="T590" s="119"/>
      <c r="U590" s="119"/>
      <c r="V590" s="119"/>
      <c r="W590" s="119"/>
    </row>
    <row r="591" spans="1:23" x14ac:dyDescent="0.2">
      <c r="A591" s="122" t="s">
        <v>597</v>
      </c>
      <c r="B591" s="122" t="s">
        <v>1023</v>
      </c>
      <c r="C591" s="115"/>
      <c r="D591" s="123" t="str">
        <f>IF(Kielivalinta="","",IF(Kielivalinta="Suomi",_xlfn.IFNA(VLOOKUP($A591,Data!$A$2:$C$612,2,FALSE),0),IF(Kielivalinta="Svenska",_xlfn.IFNA(VLOOKUP($B591,Data!$A$2:$C$612,2,FALSE),0))))</f>
        <v/>
      </c>
      <c r="E591" s="123" t="str">
        <f>IF(Kielivalinta="","",IF(Kielivalinta="Suomi",_xlfn.IFNA(VLOOKUP($A591,Data!$A$2:$C$612,3,FALSE),0),IF(Kielivalinta="Svenska",_xlfn.IFNA(VLOOKUP($B591,Data!$A$2:$C$612,3,FALSE),0))))</f>
        <v/>
      </c>
      <c r="F591" s="119"/>
      <c r="G591" s="119"/>
      <c r="H591" s="119"/>
      <c r="I591" s="119"/>
      <c r="J591" s="119"/>
      <c r="Q591" s="122"/>
      <c r="R591" s="119"/>
      <c r="S591" s="119"/>
      <c r="T591" s="119"/>
      <c r="U591" s="119"/>
      <c r="V591" s="119"/>
      <c r="W591" s="119"/>
    </row>
    <row r="592" spans="1:23" x14ac:dyDescent="0.2">
      <c r="A592" s="122" t="s">
        <v>598</v>
      </c>
      <c r="B592" s="122" t="s">
        <v>1259</v>
      </c>
      <c r="C592" s="115"/>
      <c r="D592" s="123" t="str">
        <f>IF(Kielivalinta="","",IF(Kielivalinta="Suomi",_xlfn.IFNA(VLOOKUP($A592,Data!$A$2:$C$612,2,FALSE),0),IF(Kielivalinta="Svenska",_xlfn.IFNA(VLOOKUP($B592,Data!$A$2:$C$612,2,FALSE),0))))</f>
        <v/>
      </c>
      <c r="E592" s="123" t="str">
        <f>IF(Kielivalinta="","",IF(Kielivalinta="Suomi",_xlfn.IFNA(VLOOKUP($A592,Data!$A$2:$C$612,3,FALSE),0),IF(Kielivalinta="Svenska",_xlfn.IFNA(VLOOKUP($B592,Data!$A$2:$C$612,3,FALSE),0))))</f>
        <v/>
      </c>
      <c r="F592" s="119"/>
      <c r="G592" s="119"/>
      <c r="H592" s="119"/>
      <c r="I592" s="119"/>
      <c r="J592" s="119"/>
      <c r="Q592" s="122"/>
      <c r="R592" s="119"/>
      <c r="S592" s="119"/>
      <c r="T592" s="119"/>
      <c r="U592" s="119"/>
      <c r="V592" s="119"/>
      <c r="W592" s="119"/>
    </row>
    <row r="593" spans="1:23" x14ac:dyDescent="0.2">
      <c r="A593" s="122" t="s">
        <v>599</v>
      </c>
      <c r="B593" s="122" t="s">
        <v>1260</v>
      </c>
      <c r="C593" s="115"/>
      <c r="D593" s="123" t="str">
        <f>IF(Kielivalinta="","",IF(Kielivalinta="Suomi",_xlfn.IFNA(VLOOKUP($A593,Data!$A$2:$C$612,2,FALSE),0),IF(Kielivalinta="Svenska",_xlfn.IFNA(VLOOKUP($B593,Data!$A$2:$C$612,2,FALSE),0))))</f>
        <v/>
      </c>
      <c r="E593" s="123" t="str">
        <f>IF(Kielivalinta="","",IF(Kielivalinta="Suomi",_xlfn.IFNA(VLOOKUP($A593,Data!$A$2:$C$612,3,FALSE),0),IF(Kielivalinta="Svenska",_xlfn.IFNA(VLOOKUP($B593,Data!$A$2:$C$612,3,FALSE),0))))</f>
        <v/>
      </c>
      <c r="F593" s="119"/>
      <c r="G593" s="119"/>
      <c r="H593" s="119"/>
      <c r="I593" s="119"/>
      <c r="J593" s="119"/>
      <c r="Q593" s="122"/>
      <c r="R593" s="119"/>
      <c r="S593" s="119"/>
      <c r="T593" s="119"/>
      <c r="U593" s="119"/>
      <c r="V593" s="119"/>
      <c r="W593" s="119"/>
    </row>
    <row r="594" spans="1:23" x14ac:dyDescent="0.2">
      <c r="A594" s="122" t="s">
        <v>600</v>
      </c>
      <c r="B594" s="122" t="s">
        <v>1261</v>
      </c>
      <c r="C594" s="115"/>
      <c r="D594" s="123" t="str">
        <f>IF(Kielivalinta="","",IF(Kielivalinta="Suomi",_xlfn.IFNA(VLOOKUP($A594,Data!$A$2:$C$612,2,FALSE),0),IF(Kielivalinta="Svenska",_xlfn.IFNA(VLOOKUP($B594,Data!$A$2:$C$612,2,FALSE),0))))</f>
        <v/>
      </c>
      <c r="E594" s="123" t="str">
        <f>IF(Kielivalinta="","",IF(Kielivalinta="Suomi",_xlfn.IFNA(VLOOKUP($A594,Data!$A$2:$C$612,3,FALSE),0),IF(Kielivalinta="Svenska",_xlfn.IFNA(VLOOKUP($B594,Data!$A$2:$C$612,3,FALSE),0))))</f>
        <v/>
      </c>
      <c r="F594" s="119"/>
      <c r="G594" s="119"/>
      <c r="H594" s="119"/>
      <c r="I594" s="119"/>
      <c r="J594" s="119"/>
      <c r="Q594" s="122"/>
      <c r="R594" s="119"/>
      <c r="S594" s="119"/>
      <c r="T594" s="119"/>
      <c r="U594" s="119"/>
      <c r="V594" s="119"/>
      <c r="W594" s="119"/>
    </row>
    <row r="595" spans="1:23" x14ac:dyDescent="0.2">
      <c r="A595" s="119" t="s">
        <v>601</v>
      </c>
      <c r="B595" s="119" t="s">
        <v>1024</v>
      </c>
      <c r="C595" s="115"/>
      <c r="D595" s="123" t="str">
        <f>IF(Kielivalinta="","",IF(Kielivalinta="Suomi",_xlfn.IFNA(VLOOKUP($A595,Data!$A$2:$C$612,2,FALSE),0),IF(Kielivalinta="Svenska",_xlfn.IFNA(VLOOKUP($B595,Data!$A$2:$C$612,2,FALSE),0))))</f>
        <v/>
      </c>
      <c r="E595" s="123" t="str">
        <f>IF(Kielivalinta="","",IF(Kielivalinta="Suomi",_xlfn.IFNA(VLOOKUP($A595,Data!$A$2:$C$612,3,FALSE),0),IF(Kielivalinta="Svenska",_xlfn.IFNA(VLOOKUP($B595,Data!$A$2:$C$612,3,FALSE),0))))</f>
        <v/>
      </c>
      <c r="F595" s="119"/>
      <c r="G595" s="119"/>
      <c r="H595" s="119"/>
      <c r="I595" s="119"/>
      <c r="J595" s="119"/>
      <c r="Q595" s="119"/>
      <c r="R595" s="119"/>
      <c r="S595" s="119"/>
      <c r="T595" s="119"/>
      <c r="U595" s="119"/>
      <c r="V595" s="119"/>
      <c r="W595" s="119"/>
    </row>
    <row r="596" spans="1:23" x14ac:dyDescent="0.2">
      <c r="A596" s="119" t="s">
        <v>602</v>
      </c>
      <c r="B596" s="119" t="s">
        <v>1025</v>
      </c>
      <c r="C596" s="115"/>
      <c r="D596" s="123" t="str">
        <f>IF(Kielivalinta="","",IF(Kielivalinta="Suomi",_xlfn.IFNA(VLOOKUP($A596,Data!$A$2:$C$612,2,FALSE),0),IF(Kielivalinta="Svenska",_xlfn.IFNA(VLOOKUP($B596,Data!$A$2:$C$612,2,FALSE),0))))</f>
        <v/>
      </c>
      <c r="E596" s="123" t="str">
        <f>IF(Kielivalinta="","",IF(Kielivalinta="Suomi",_xlfn.IFNA(VLOOKUP($A596,Data!$A$2:$C$612,3,FALSE),0),IF(Kielivalinta="Svenska",_xlfn.IFNA(VLOOKUP($B596,Data!$A$2:$C$612,3,FALSE),0))))</f>
        <v/>
      </c>
      <c r="F596" s="119"/>
      <c r="G596" s="119"/>
      <c r="H596" s="119"/>
      <c r="I596" s="119"/>
      <c r="J596" s="119"/>
      <c r="Q596" s="119"/>
      <c r="R596" s="119"/>
      <c r="S596" s="119"/>
      <c r="T596" s="119"/>
      <c r="U596" s="119"/>
      <c r="V596" s="119"/>
      <c r="W596" s="119"/>
    </row>
    <row r="597" spans="1:23" x14ac:dyDescent="0.2">
      <c r="A597" s="119" t="s">
        <v>603</v>
      </c>
      <c r="B597" s="119" t="s">
        <v>1026</v>
      </c>
      <c r="C597" s="115"/>
      <c r="D597" s="123" t="str">
        <f>IF(Kielivalinta="","",IF(Kielivalinta="Suomi",_xlfn.IFNA(VLOOKUP($A597,Data!$A$2:$C$612,2,FALSE),0),IF(Kielivalinta="Svenska",_xlfn.IFNA(VLOOKUP($B597,Data!$A$2:$C$612,2,FALSE),0))))</f>
        <v/>
      </c>
      <c r="E597" s="123" t="str">
        <f>IF(Kielivalinta="","",IF(Kielivalinta="Suomi",_xlfn.IFNA(VLOOKUP($A597,Data!$A$2:$C$612,3,FALSE),0),IF(Kielivalinta="Svenska",_xlfn.IFNA(VLOOKUP($B597,Data!$A$2:$C$612,3,FALSE),0))))</f>
        <v/>
      </c>
      <c r="F597" s="119"/>
      <c r="G597" s="119"/>
      <c r="H597" s="119"/>
      <c r="I597" s="119"/>
      <c r="J597" s="119"/>
      <c r="Q597" s="119"/>
      <c r="R597" s="119"/>
      <c r="S597" s="119"/>
      <c r="T597" s="119"/>
      <c r="U597" s="119"/>
      <c r="V597" s="119"/>
      <c r="W597" s="119"/>
    </row>
    <row r="598" spans="1:23" x14ac:dyDescent="0.2">
      <c r="A598" s="122" t="s">
        <v>604</v>
      </c>
      <c r="B598" s="122" t="s">
        <v>1027</v>
      </c>
      <c r="C598" s="115"/>
      <c r="D598" s="123" t="str">
        <f>IF(Kielivalinta="","",IF(Kielivalinta="Suomi",_xlfn.IFNA(VLOOKUP($A598,Data!$A$2:$C$612,2,FALSE),0),IF(Kielivalinta="Svenska",_xlfn.IFNA(VLOOKUP($B598,Data!$A$2:$C$612,2,FALSE),0))))</f>
        <v/>
      </c>
      <c r="E598" s="123" t="str">
        <f>IF(Kielivalinta="","",IF(Kielivalinta="Suomi",_xlfn.IFNA(VLOOKUP($A598,Data!$A$2:$C$612,3,FALSE),0),IF(Kielivalinta="Svenska",_xlfn.IFNA(VLOOKUP($B598,Data!$A$2:$C$612,3,FALSE),0))))</f>
        <v/>
      </c>
      <c r="F598" s="119"/>
      <c r="G598" s="119"/>
      <c r="H598" s="119"/>
      <c r="I598" s="119"/>
      <c r="J598" s="119"/>
      <c r="Q598" s="122"/>
      <c r="R598" s="119"/>
      <c r="S598" s="119"/>
      <c r="T598" s="119"/>
      <c r="U598" s="119"/>
      <c r="V598" s="119"/>
      <c r="W598" s="119"/>
    </row>
    <row r="599" spans="1:23" x14ac:dyDescent="0.2">
      <c r="A599" s="122" t="s">
        <v>605</v>
      </c>
      <c r="B599" s="122" t="s">
        <v>1028</v>
      </c>
      <c r="C599" s="115"/>
      <c r="D599" s="123" t="str">
        <f>IF(Kielivalinta="","",IF(Kielivalinta="Suomi",_xlfn.IFNA(VLOOKUP($A599,Data!$A$2:$C$612,2,FALSE),0),IF(Kielivalinta="Svenska",_xlfn.IFNA(VLOOKUP($B599,Data!$A$2:$C$612,2,FALSE),0))))</f>
        <v/>
      </c>
      <c r="E599" s="123" t="str">
        <f>IF(Kielivalinta="","",IF(Kielivalinta="Suomi",_xlfn.IFNA(VLOOKUP($A599,Data!$A$2:$C$612,3,FALSE),0),IF(Kielivalinta="Svenska",_xlfn.IFNA(VLOOKUP($B599,Data!$A$2:$C$612,3,FALSE),0))))</f>
        <v/>
      </c>
      <c r="F599" s="119"/>
      <c r="G599" s="119"/>
      <c r="H599" s="119"/>
      <c r="I599" s="119"/>
      <c r="J599" s="119"/>
      <c r="Q599" s="122"/>
      <c r="R599" s="119"/>
      <c r="S599" s="119"/>
      <c r="T599" s="119"/>
      <c r="U599" s="119"/>
      <c r="V599" s="119"/>
      <c r="W599" s="119"/>
    </row>
    <row r="600" spans="1:23" x14ac:dyDescent="0.2">
      <c r="A600" s="122" t="s">
        <v>606</v>
      </c>
      <c r="B600" s="122" t="s">
        <v>1029</v>
      </c>
      <c r="C600" s="115"/>
      <c r="D600" s="123" t="str">
        <f>IF(Kielivalinta="","",IF(Kielivalinta="Suomi",_xlfn.IFNA(VLOOKUP($A600,Data!$A$2:$C$612,2,FALSE),0),IF(Kielivalinta="Svenska",_xlfn.IFNA(VLOOKUP($B600,Data!$A$2:$C$612,2,FALSE),0))))</f>
        <v/>
      </c>
      <c r="E600" s="123" t="str">
        <f>IF(Kielivalinta="","",IF(Kielivalinta="Suomi",_xlfn.IFNA(VLOOKUP($A600,Data!$A$2:$C$612,3,FALSE),0),IF(Kielivalinta="Svenska",_xlfn.IFNA(VLOOKUP($B600,Data!$A$2:$C$612,3,FALSE),0))))</f>
        <v/>
      </c>
      <c r="F600" s="119"/>
      <c r="G600" s="119"/>
      <c r="H600" s="119"/>
      <c r="I600" s="119"/>
      <c r="J600" s="119"/>
      <c r="Q600" s="122"/>
      <c r="R600" s="119"/>
      <c r="S600" s="119"/>
      <c r="T600" s="119"/>
      <c r="U600" s="119"/>
      <c r="V600" s="119"/>
      <c r="W600" s="119"/>
    </row>
    <row r="601" spans="1:23" x14ac:dyDescent="0.2">
      <c r="A601" s="122" t="s">
        <v>607</v>
      </c>
      <c r="B601" s="122" t="s">
        <v>1262</v>
      </c>
      <c r="C601" s="115"/>
      <c r="D601" s="123" t="str">
        <f>IF(Kielivalinta="","",IF(Kielivalinta="Suomi",_xlfn.IFNA(VLOOKUP($A601,Data!$A$2:$C$612,2,FALSE),0),IF(Kielivalinta="Svenska",_xlfn.IFNA(VLOOKUP($B601,Data!$A$2:$C$612,2,FALSE),0))))</f>
        <v/>
      </c>
      <c r="E601" s="123" t="str">
        <f>IF(Kielivalinta="","",IF(Kielivalinta="Suomi",_xlfn.IFNA(VLOOKUP($A601,Data!$A$2:$C$612,3,FALSE),0),IF(Kielivalinta="Svenska",_xlfn.IFNA(VLOOKUP($B601,Data!$A$2:$C$612,3,FALSE),0))))</f>
        <v/>
      </c>
      <c r="F601" s="119"/>
      <c r="G601" s="119"/>
      <c r="H601" s="119"/>
      <c r="I601" s="119"/>
      <c r="J601" s="119"/>
      <c r="Q601" s="122"/>
      <c r="R601" s="119"/>
      <c r="S601" s="119"/>
      <c r="T601" s="119"/>
      <c r="U601" s="119"/>
      <c r="V601" s="119"/>
      <c r="W601" s="119"/>
    </row>
    <row r="602" spans="1:23" x14ac:dyDescent="0.2">
      <c r="A602" s="122" t="s">
        <v>608</v>
      </c>
      <c r="B602" s="122" t="s">
        <v>1030</v>
      </c>
      <c r="C602" s="115"/>
      <c r="D602" s="123" t="str">
        <f>IF(Kielivalinta="","",IF(Kielivalinta="Suomi",_xlfn.IFNA(VLOOKUP($A602,Data!$A$2:$C$612,2,FALSE),0),IF(Kielivalinta="Svenska",_xlfn.IFNA(VLOOKUP($B602,Data!$A$2:$C$612,2,FALSE),0))))</f>
        <v/>
      </c>
      <c r="E602" s="123" t="str">
        <f>IF(Kielivalinta="","",IF(Kielivalinta="Suomi",_xlfn.IFNA(VLOOKUP($A602,Data!$A$2:$C$612,3,FALSE),0),IF(Kielivalinta="Svenska",_xlfn.IFNA(VLOOKUP($B602,Data!$A$2:$C$612,3,FALSE),0))))</f>
        <v/>
      </c>
      <c r="F602" s="119"/>
      <c r="G602" s="119"/>
      <c r="H602" s="119"/>
      <c r="I602" s="119"/>
      <c r="J602" s="119"/>
      <c r="Q602" s="122"/>
      <c r="R602" s="119"/>
      <c r="S602" s="119"/>
      <c r="T602" s="119"/>
      <c r="U602" s="119"/>
      <c r="V602" s="119"/>
      <c r="W602" s="119"/>
    </row>
    <row r="603" spans="1:23" x14ac:dyDescent="0.2">
      <c r="A603" s="122" t="s">
        <v>609</v>
      </c>
      <c r="B603" s="122" t="s">
        <v>1031</v>
      </c>
      <c r="C603" s="115"/>
      <c r="D603" s="123" t="str">
        <f>IF(Kielivalinta="","",IF(Kielivalinta="Suomi",_xlfn.IFNA(VLOOKUP($A603,Data!$A$2:$C$612,2,FALSE),0),IF(Kielivalinta="Svenska",_xlfn.IFNA(VLOOKUP($B603,Data!$A$2:$C$612,2,FALSE),0))))</f>
        <v/>
      </c>
      <c r="E603" s="123" t="str">
        <f>IF(Kielivalinta="","",IF(Kielivalinta="Suomi",_xlfn.IFNA(VLOOKUP($A603,Data!$A$2:$C$612,3,FALSE),0),IF(Kielivalinta="Svenska",_xlfn.IFNA(VLOOKUP($B603,Data!$A$2:$C$612,3,FALSE),0))))</f>
        <v/>
      </c>
      <c r="F603" s="119"/>
      <c r="G603" s="119"/>
      <c r="H603" s="119"/>
      <c r="I603" s="119"/>
      <c r="J603" s="119"/>
      <c r="Q603" s="122"/>
      <c r="R603" s="119"/>
      <c r="S603" s="119"/>
      <c r="T603" s="119"/>
      <c r="U603" s="119"/>
      <c r="V603" s="119"/>
      <c r="W603" s="119"/>
    </row>
    <row r="604" spans="1:23" x14ac:dyDescent="0.2">
      <c r="A604" s="119" t="s">
        <v>610</v>
      </c>
      <c r="B604" s="119" t="s">
        <v>1263</v>
      </c>
      <c r="C604" s="115"/>
      <c r="D604" s="123" t="str">
        <f>IF(Kielivalinta="","",IF(Kielivalinta="Suomi",_xlfn.IFNA(VLOOKUP($A604,Data!$A$2:$C$612,2,FALSE),0),IF(Kielivalinta="Svenska",_xlfn.IFNA(VLOOKUP($B604,Data!$A$2:$C$612,2,FALSE),0))))</f>
        <v/>
      </c>
      <c r="E604" s="123" t="str">
        <f>IF(Kielivalinta="","",IF(Kielivalinta="Suomi",_xlfn.IFNA(VLOOKUP($A604,Data!$A$2:$C$612,3,FALSE),0),IF(Kielivalinta="Svenska",_xlfn.IFNA(VLOOKUP($B604,Data!$A$2:$C$612,3,FALSE),0))))</f>
        <v/>
      </c>
      <c r="F604" s="119"/>
      <c r="G604" s="119"/>
      <c r="H604" s="119"/>
      <c r="I604" s="119"/>
      <c r="J604" s="119"/>
      <c r="Q604" s="119"/>
      <c r="R604" s="119"/>
      <c r="S604" s="119"/>
      <c r="T604" s="119"/>
      <c r="U604" s="119"/>
      <c r="V604" s="119"/>
      <c r="W604" s="119"/>
    </row>
    <row r="605" spans="1:23" x14ac:dyDescent="0.2">
      <c r="A605" s="122" t="s">
        <v>611</v>
      </c>
      <c r="B605" s="122" t="s">
        <v>1032</v>
      </c>
      <c r="C605" s="115"/>
      <c r="D605" s="123" t="str">
        <f>IF(Kielivalinta="","",IF(Kielivalinta="Suomi",_xlfn.IFNA(VLOOKUP($A605,Data!$A$2:$C$612,2,FALSE),0),IF(Kielivalinta="Svenska",_xlfn.IFNA(VLOOKUP($B605,Data!$A$2:$C$612,2,FALSE),0))))</f>
        <v/>
      </c>
      <c r="E605" s="123" t="str">
        <f>IF(Kielivalinta="","",IF(Kielivalinta="Suomi",_xlfn.IFNA(VLOOKUP($A605,Data!$A$2:$C$612,3,FALSE),0),IF(Kielivalinta="Svenska",_xlfn.IFNA(VLOOKUP($B605,Data!$A$2:$C$612,3,FALSE),0))))</f>
        <v/>
      </c>
      <c r="F605" s="119"/>
      <c r="G605" s="119"/>
      <c r="H605" s="119"/>
      <c r="I605" s="119"/>
      <c r="J605" s="119"/>
      <c r="Q605" s="122"/>
      <c r="R605" s="119"/>
      <c r="S605" s="119"/>
      <c r="T605" s="119"/>
      <c r="U605" s="119"/>
      <c r="V605" s="119"/>
      <c r="W605" s="119"/>
    </row>
    <row r="606" spans="1:23" x14ac:dyDescent="0.2">
      <c r="A606" s="122" t="s">
        <v>612</v>
      </c>
      <c r="B606" s="122" t="s">
        <v>1033</v>
      </c>
      <c r="C606" s="115"/>
      <c r="D606" s="123" t="str">
        <f>IF(Kielivalinta="","",IF(Kielivalinta="Suomi",_xlfn.IFNA(VLOOKUP($A606,Data!$A$2:$C$612,2,FALSE),0),IF(Kielivalinta="Svenska",_xlfn.IFNA(VLOOKUP($B606,Data!$A$2:$C$612,2,FALSE),0))))</f>
        <v/>
      </c>
      <c r="E606" s="123" t="str">
        <f>IF(Kielivalinta="","",IF(Kielivalinta="Suomi",_xlfn.IFNA(VLOOKUP($A606,Data!$A$2:$C$612,3,FALSE),0),IF(Kielivalinta="Svenska",_xlfn.IFNA(VLOOKUP($B606,Data!$A$2:$C$612,3,FALSE),0))))</f>
        <v/>
      </c>
      <c r="F606" s="119"/>
      <c r="G606" s="119"/>
      <c r="H606" s="119"/>
      <c r="I606" s="119"/>
      <c r="J606" s="119"/>
      <c r="Q606" s="122"/>
      <c r="R606" s="119"/>
      <c r="S606" s="119"/>
      <c r="T606" s="119"/>
      <c r="U606" s="119"/>
      <c r="V606" s="119"/>
      <c r="W606" s="119"/>
    </row>
    <row r="607" spans="1:23" x14ac:dyDescent="0.2">
      <c r="A607" s="119" t="s">
        <v>613</v>
      </c>
      <c r="B607" s="119" t="s">
        <v>1034</v>
      </c>
      <c r="C607" s="115"/>
      <c r="D607" s="123" t="str">
        <f>IF(Kielivalinta="","",IF(Kielivalinta="Suomi",_xlfn.IFNA(VLOOKUP($A607,Data!$A$2:$C$612,2,FALSE),0),IF(Kielivalinta="Svenska",_xlfn.IFNA(VLOOKUP($B607,Data!$A$2:$C$612,2,FALSE),0))))</f>
        <v/>
      </c>
      <c r="E607" s="123" t="str">
        <f>IF(Kielivalinta="","",IF(Kielivalinta="Suomi",_xlfn.IFNA(VLOOKUP($A607,Data!$A$2:$C$612,3,FALSE),0),IF(Kielivalinta="Svenska",_xlfn.IFNA(VLOOKUP($B607,Data!$A$2:$C$612,3,FALSE),0))))</f>
        <v/>
      </c>
      <c r="F607" s="119"/>
      <c r="G607" s="119"/>
      <c r="H607" s="119"/>
      <c r="I607" s="119"/>
      <c r="J607" s="119"/>
      <c r="Q607" s="119"/>
      <c r="R607" s="119"/>
      <c r="S607" s="119"/>
      <c r="T607" s="119"/>
      <c r="U607" s="119"/>
      <c r="V607" s="119"/>
      <c r="W607" s="119"/>
    </row>
    <row r="608" spans="1:23" x14ac:dyDescent="0.2">
      <c r="A608" s="122" t="s">
        <v>614</v>
      </c>
      <c r="B608" s="122" t="s">
        <v>1035</v>
      </c>
      <c r="C608" s="115"/>
      <c r="D608" s="123" t="str">
        <f>IF(Kielivalinta="","",IF(Kielivalinta="Suomi",_xlfn.IFNA(VLOOKUP($A608,Data!$A$2:$C$612,2,FALSE),0),IF(Kielivalinta="Svenska",_xlfn.IFNA(VLOOKUP($B608,Data!$A$2:$C$612,2,FALSE),0))))</f>
        <v/>
      </c>
      <c r="E608" s="123" t="str">
        <f>IF(Kielivalinta="","",IF(Kielivalinta="Suomi",_xlfn.IFNA(VLOOKUP($A608,Data!$A$2:$C$612,3,FALSE),0),IF(Kielivalinta="Svenska",_xlfn.IFNA(VLOOKUP($B608,Data!$A$2:$C$612,3,FALSE),0))))</f>
        <v/>
      </c>
      <c r="F608" s="119"/>
      <c r="G608" s="119"/>
      <c r="H608" s="119"/>
      <c r="I608" s="119"/>
      <c r="J608" s="119"/>
      <c r="Q608" s="122"/>
      <c r="R608" s="119"/>
      <c r="S608" s="119"/>
      <c r="T608" s="119"/>
      <c r="U608" s="119"/>
      <c r="V608" s="119"/>
      <c r="W608" s="119"/>
    </row>
    <row r="609" spans="1:23" x14ac:dyDescent="0.2">
      <c r="A609" s="122" t="s">
        <v>615</v>
      </c>
      <c r="B609" s="122" t="s">
        <v>1036</v>
      </c>
      <c r="C609" s="115"/>
      <c r="D609" s="123" t="str">
        <f>IF(Kielivalinta="","",IF(Kielivalinta="Suomi",_xlfn.IFNA(VLOOKUP($A609,Data!$A$2:$C$612,2,FALSE),0),IF(Kielivalinta="Svenska",_xlfn.IFNA(VLOOKUP($B609,Data!$A$2:$C$612,2,FALSE),0))))</f>
        <v/>
      </c>
      <c r="E609" s="123" t="str">
        <f>IF(Kielivalinta="","",IF(Kielivalinta="Suomi",_xlfn.IFNA(VLOOKUP($A609,Data!$A$2:$C$612,3,FALSE),0),IF(Kielivalinta="Svenska",_xlfn.IFNA(VLOOKUP($B609,Data!$A$2:$C$612,3,FALSE),0))))</f>
        <v/>
      </c>
      <c r="F609" s="119"/>
      <c r="G609" s="119"/>
      <c r="H609" s="119"/>
      <c r="I609" s="119"/>
      <c r="J609" s="119"/>
      <c r="Q609" s="122"/>
      <c r="R609" s="119"/>
      <c r="S609" s="119"/>
      <c r="T609" s="119"/>
      <c r="U609" s="119"/>
      <c r="V609" s="119"/>
      <c r="W609" s="119"/>
    </row>
    <row r="610" spans="1:23" x14ac:dyDescent="0.2">
      <c r="A610" s="122" t="s">
        <v>616</v>
      </c>
      <c r="B610" s="122" t="s">
        <v>1037</v>
      </c>
      <c r="C610" s="115"/>
      <c r="D610" s="123" t="str">
        <f>IF(Kielivalinta="","",IF(Kielivalinta="Suomi",_xlfn.IFNA(VLOOKUP($A610,Data!$A$2:$C$612,2,FALSE),0),IF(Kielivalinta="Svenska",_xlfn.IFNA(VLOOKUP($B610,Data!$A$2:$C$612,2,FALSE),0))))</f>
        <v/>
      </c>
      <c r="E610" s="123" t="str">
        <f>IF(Kielivalinta="","",IF(Kielivalinta="Suomi",_xlfn.IFNA(VLOOKUP($A610,Data!$A$2:$C$612,3,FALSE),0),IF(Kielivalinta="Svenska",_xlfn.IFNA(VLOOKUP($B610,Data!$A$2:$C$612,3,FALSE),0))))</f>
        <v/>
      </c>
      <c r="F610" s="119"/>
      <c r="G610" s="119"/>
      <c r="H610" s="119"/>
      <c r="I610" s="119"/>
      <c r="J610" s="119"/>
      <c r="Q610" s="122"/>
      <c r="R610" s="119"/>
      <c r="S610" s="119"/>
      <c r="T610" s="119"/>
      <c r="U610" s="119"/>
      <c r="V610" s="119"/>
      <c r="W610" s="119"/>
    </row>
    <row r="611" spans="1:23" x14ac:dyDescent="0.2">
      <c r="A611" s="122" t="s">
        <v>617</v>
      </c>
      <c r="B611" s="122" t="s">
        <v>1038</v>
      </c>
      <c r="C611" s="115"/>
      <c r="D611" s="123" t="str">
        <f>IF(Kielivalinta="","",IF(Kielivalinta="Suomi",_xlfn.IFNA(VLOOKUP($A611,Data!$A$2:$C$612,2,FALSE),0),IF(Kielivalinta="Svenska",_xlfn.IFNA(VLOOKUP($B611,Data!$A$2:$C$612,2,FALSE),0))))</f>
        <v/>
      </c>
      <c r="E611" s="123" t="str">
        <f>IF(Kielivalinta="","",IF(Kielivalinta="Suomi",_xlfn.IFNA(VLOOKUP($A611,Data!$A$2:$C$612,3,FALSE),0),IF(Kielivalinta="Svenska",_xlfn.IFNA(VLOOKUP($B611,Data!$A$2:$C$612,3,FALSE),0))))</f>
        <v/>
      </c>
      <c r="F611" s="119"/>
      <c r="G611" s="119"/>
      <c r="H611" s="119"/>
      <c r="I611" s="119"/>
      <c r="J611" s="119"/>
      <c r="Q611" s="122"/>
      <c r="R611" s="119"/>
      <c r="S611" s="119"/>
      <c r="T611" s="119"/>
      <c r="U611" s="119"/>
      <c r="V611" s="119"/>
      <c r="W611" s="119"/>
    </row>
    <row r="612" spans="1:23" x14ac:dyDescent="0.2">
      <c r="A612" s="122" t="s">
        <v>618</v>
      </c>
      <c r="B612" s="122" t="s">
        <v>1264</v>
      </c>
      <c r="C612" s="115"/>
      <c r="D612" s="123" t="str">
        <f>IF(Kielivalinta="","",IF(Kielivalinta="Suomi",_xlfn.IFNA(VLOOKUP($A612,Data!$A$2:$C$612,2,FALSE),0),IF(Kielivalinta="Svenska",_xlfn.IFNA(VLOOKUP($B612,Data!$A$2:$C$612,2,FALSE),0))))</f>
        <v/>
      </c>
      <c r="E612" s="123" t="str">
        <f>IF(Kielivalinta="","",IF(Kielivalinta="Suomi",_xlfn.IFNA(VLOOKUP($A612,Data!$A$2:$C$612,3,FALSE),0),IF(Kielivalinta="Svenska",_xlfn.IFNA(VLOOKUP($B612,Data!$A$2:$C$612,3,FALSE),0))))</f>
        <v/>
      </c>
      <c r="F612" s="119"/>
      <c r="G612" s="119"/>
      <c r="H612" s="119"/>
      <c r="I612" s="119"/>
      <c r="J612" s="119"/>
      <c r="Q612" s="122"/>
      <c r="R612" s="119"/>
      <c r="S612" s="119"/>
      <c r="T612" s="119"/>
      <c r="U612" s="119"/>
      <c r="V612" s="119"/>
      <c r="W612" s="119"/>
    </row>
    <row r="613" spans="1:23" x14ac:dyDescent="0.2">
      <c r="A613" s="122" t="s">
        <v>619</v>
      </c>
      <c r="B613" s="122" t="s">
        <v>1265</v>
      </c>
      <c r="C613" s="115"/>
      <c r="D613" s="123" t="str">
        <f>IF(Kielivalinta="","",IF(Kielivalinta="Suomi",_xlfn.IFNA(VLOOKUP($A613,Data!$A$2:$C$612,2,FALSE),0),IF(Kielivalinta="Svenska",_xlfn.IFNA(VLOOKUP($B613,Data!$A$2:$C$612,2,FALSE),0))))</f>
        <v/>
      </c>
      <c r="E613" s="123" t="str">
        <f>IF(Kielivalinta="","",IF(Kielivalinta="Suomi",_xlfn.IFNA(VLOOKUP($A613,Data!$A$2:$C$612,3,FALSE),0),IF(Kielivalinta="Svenska",_xlfn.IFNA(VLOOKUP($B613,Data!$A$2:$C$612,3,FALSE),0))))</f>
        <v/>
      </c>
      <c r="F613" s="119"/>
      <c r="G613" s="119"/>
      <c r="H613" s="119"/>
      <c r="I613" s="119"/>
      <c r="J613" s="119"/>
      <c r="Q613" s="122"/>
      <c r="R613" s="119"/>
      <c r="S613" s="119"/>
      <c r="T613" s="119"/>
      <c r="U613" s="119"/>
      <c r="V613" s="119"/>
      <c r="W613" s="119"/>
    </row>
    <row r="614" spans="1:23" x14ac:dyDescent="0.2">
      <c r="A614" s="122"/>
      <c r="B614" s="122"/>
      <c r="C614" s="115"/>
      <c r="D614" s="123" t="str">
        <f>IF(Kielivalinta="","",IF(Kielivalinta="Suomi",_xlfn.IFNA(VLOOKUP($A614,Data!$A$2:$C$612,2,FALSE),0),IF(Kielivalinta="Svenska",_xlfn.IFNA(VLOOKUP($B614,Data!$A$2:$C$612,2,FALSE),0))))</f>
        <v/>
      </c>
      <c r="E614" s="123" t="str">
        <f>IF(Kielivalinta="","",IF(Kielivalinta="Suomi",_xlfn.IFNA(VLOOKUP($A614,Data!$A$2:$C$612,3,FALSE),0),IF(Kielivalinta="Svenska",_xlfn.IFNA(VLOOKUP($B614,Data!$A$2:$C$612,3,FALSE),0))))</f>
        <v/>
      </c>
      <c r="F614" s="119"/>
      <c r="G614" s="119"/>
      <c r="H614" s="119"/>
      <c r="I614" s="119"/>
      <c r="J614" s="119"/>
      <c r="Q614" s="122"/>
      <c r="R614" s="119"/>
      <c r="S614" s="119"/>
      <c r="T614" s="119"/>
      <c r="U614" s="119"/>
      <c r="V614" s="119"/>
      <c r="W614" s="119"/>
    </row>
    <row r="615" spans="1:23" x14ac:dyDescent="0.2">
      <c r="A615" s="119"/>
      <c r="B615" s="119"/>
      <c r="C615" s="115"/>
      <c r="D615" s="123" t="str">
        <f>IF(Kielivalinta="","",IF(Kielivalinta="Suomi",_xlfn.IFNA(VLOOKUP($A615,Data!$A$2:$C$612,2,FALSE),0),IF(Kielivalinta="Svenska",_xlfn.IFNA(VLOOKUP($B615,Data!$A$2:$C$612,2,FALSE),0))))</f>
        <v/>
      </c>
      <c r="E615" s="123" t="str">
        <f>IF(Kielivalinta="","",IF(Kielivalinta="Suomi",_xlfn.IFNA(VLOOKUP($A615,Data!$A$2:$C$612,3,FALSE),0),IF(Kielivalinta="Svenska",_xlfn.IFNA(VLOOKUP($B615,Data!$A$2:$C$612,3,FALSE),0))))</f>
        <v/>
      </c>
      <c r="F615" s="119"/>
      <c r="G615" s="119"/>
      <c r="H615" s="119"/>
      <c r="I615" s="119"/>
      <c r="J615" s="119"/>
      <c r="Q615" s="119"/>
      <c r="R615" s="119"/>
      <c r="S615" s="119"/>
      <c r="T615" s="119"/>
      <c r="U615" s="119"/>
      <c r="V615" s="119"/>
      <c r="W615" s="119"/>
    </row>
    <row r="616" spans="1:23" x14ac:dyDescent="0.2">
      <c r="A616" s="119"/>
      <c r="B616" s="119"/>
      <c r="C616" s="115"/>
      <c r="D616" s="123" t="str">
        <f>IF(Kielivalinta="","",IF(Kielivalinta="Suomi",_xlfn.IFNA(VLOOKUP($A616,Data!$A$2:$C$612,2,FALSE),0),IF(Kielivalinta="Svenska",_xlfn.IFNA(VLOOKUP($B616,Data!$A$2:$C$612,2,FALSE),0))))</f>
        <v/>
      </c>
      <c r="E616" s="123" t="str">
        <f>IF(Kielivalinta="","",IF(Kielivalinta="Suomi",_xlfn.IFNA(VLOOKUP($A616,Data!$A$2:$C$612,3,FALSE),0),IF(Kielivalinta="Svenska",_xlfn.IFNA(VLOOKUP($B616,Data!$A$2:$C$612,3,FALSE),0))))</f>
        <v/>
      </c>
      <c r="F616" s="119"/>
      <c r="G616" s="119"/>
      <c r="H616" s="119"/>
      <c r="I616" s="119"/>
      <c r="J616" s="119"/>
      <c r="Q616" s="119"/>
      <c r="R616" s="119"/>
      <c r="S616" s="119"/>
      <c r="T616" s="119"/>
      <c r="U616" s="119"/>
      <c r="V616" s="119"/>
      <c r="W616" s="119"/>
    </row>
  </sheetData>
  <sheetProtection algorithmName="SHA-512" hashValue="3EFIyXNrBcTlFzGgPmN025nfZ2xmNMzz1BeCymKmk6gayJz3+GV2lmFzelZUhtj3QtFcayheKITNgwVa87nSkA==" saltValue="pKHX44tBQkrBkhuqkYr4Wg==" spinCount="100000" sheet="1" objects="1" scenarios="1" selectLockedCells="1" selectUnlockedCells="1"/>
  <sortState ref="A31:A93">
    <sortCondition ref="A31:A9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33</vt:i4>
      </vt:variant>
    </vt:vector>
  </HeadingPairs>
  <TitlesOfParts>
    <vt:vector size="38" baseType="lpstr">
      <vt:lpstr>Aloitus_Start</vt:lpstr>
      <vt:lpstr>Data</vt:lpstr>
      <vt:lpstr>Ristiintaul_Korstabulering</vt:lpstr>
      <vt:lpstr>Grafiikka_Grafik</vt:lpstr>
      <vt:lpstr>Asetukset</vt:lpstr>
      <vt:lpstr>Aineistomenot_kaikki_luokat</vt:lpstr>
      <vt:lpstr>Aineistomenot_paaluokat</vt:lpstr>
      <vt:lpstr>Aktiiviset_lainaajat</vt:lpstr>
      <vt:lpstr>Aukiolo</vt:lpstr>
      <vt:lpstr>Aukiolopaivat</vt:lpstr>
      <vt:lpstr>Aukiolotunnit</vt:lpstr>
      <vt:lpstr>Elektroniset_palvelut</vt:lpstr>
      <vt:lpstr>Henkilosto</vt:lpstr>
      <vt:lpstr>Henkilosto_ammatillisuus</vt:lpstr>
      <vt:lpstr>Henkilosto_rahoituslahteet</vt:lpstr>
      <vt:lpstr>Henkilostokoulutus</vt:lpstr>
      <vt:lpstr>Kaukolainaus</vt:lpstr>
      <vt:lpstr>Kaynnit</vt:lpstr>
      <vt:lpstr>Kielivalinta</vt:lpstr>
      <vt:lpstr>Kirjahankinnat</vt:lpstr>
      <vt:lpstr>KITT2030_asiakasryhmat</vt:lpstr>
      <vt:lpstr>Kokoelmat</vt:lpstr>
      <vt:lpstr>Kokonaislainaus</vt:lpstr>
      <vt:lpstr>Lainaajaluokittelu</vt:lpstr>
      <vt:lpstr>Lainaajatilasto</vt:lpstr>
      <vt:lpstr>Lainamääritelmä</vt:lpstr>
      <vt:lpstr>Lainaus_ja_uusinnat</vt:lpstr>
      <vt:lpstr>Lainaustilasto</vt:lpstr>
      <vt:lpstr>Opetus</vt:lpstr>
      <vt:lpstr>Painetut_ja_elektroniset</vt:lpstr>
      <vt:lpstr>Palvelut</vt:lpstr>
      <vt:lpstr>Projektirahoitus</vt:lpstr>
      <vt:lpstr>Rahoituslahteet</vt:lpstr>
      <vt:lpstr>Saapuvat_kausijulkaisut</vt:lpstr>
      <vt:lpstr>Talous</vt:lpstr>
      <vt:lpstr>Tietopalvelu</vt:lpstr>
      <vt:lpstr>Toimintamenot_paaluokat</vt:lpstr>
      <vt:lpstr>Ulkoinen_vaikuttavuus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Laitinen, Markku A</dc:creator>
  <cp:lastModifiedBy>Laitinen, Markku A</cp:lastModifiedBy>
  <dcterms:created xsi:type="dcterms:W3CDTF">2016-03-31T12:05:49Z</dcterms:created>
  <dcterms:modified xsi:type="dcterms:W3CDTF">2021-01-18T15:00:44Z</dcterms:modified>
</cp:coreProperties>
</file>